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hq\fs\Document\Tender\!_Не_відбулися\Тендерні заявки\Реконструкція АЗС з влаштуванням АГЗП за адресою вул. Підградська, 29, м. Ужгород\"/>
    </mc:Choice>
  </mc:AlternateContent>
  <bookViews>
    <workbookView xWindow="-105" yWindow="-105" windowWidth="19425" windowHeight="10305" tabRatio="900"/>
  </bookViews>
  <sheets>
    <sheet name="Тендерна таблиця" sheetId="7" r:id="rId1"/>
    <sheet name="ОСН.МАТЕРІАЛИ" sheetId="3" state="hidden" r:id="rId2"/>
    <sheet name="CАНТЕХНІКА" sheetId="5" r:id="rId3"/>
    <sheet name="Світлодіоди" sheetId="11" r:id="rId4"/>
    <sheet name="Дор знаки" sheetId="15" r:id="rId5"/>
    <sheet name="Пож інвентар" sheetId="12" r:id="rId6"/>
    <sheet name="зонти" sheetId="17" r:id="rId7"/>
    <sheet name="ВЕНТИЛЯЦІЯ" sheetId="6" r:id="rId8"/>
  </sheets>
  <definedNames>
    <definedName name="_xlnm._FilterDatabase" localSheetId="0" hidden="1">'Тендерна таблиця'!$A$8:$J$295</definedName>
    <definedName name="_xlnm.Print_Area" localSheetId="2">CАНТЕХНІКА!$A$1:$E$63</definedName>
    <definedName name="_xlnm.Print_Area" localSheetId="0">'Тендерна таблиця'!$A$1:$J$297</definedName>
  </definedNames>
  <calcPr calcId="162913"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4" i="7" l="1"/>
  <c r="H174" i="7"/>
  <c r="F174" i="7"/>
  <c r="E9" i="6"/>
  <c r="E14" i="6"/>
  <c r="E22" i="6"/>
  <c r="E25" i="6"/>
  <c r="E33" i="6"/>
  <c r="E35" i="6"/>
  <c r="E36" i="6"/>
  <c r="E37" i="6"/>
  <c r="E38" i="6"/>
  <c r="E57" i="6"/>
  <c r="G175" i="7"/>
  <c r="F175" i="7"/>
  <c r="H175" i="7"/>
  <c r="G287" i="7"/>
  <c r="I174" i="7" l="1"/>
  <c r="P269" i="7" l="1"/>
  <c r="P268" i="7"/>
  <c r="P267" i="7"/>
  <c r="P274" i="7"/>
  <c r="P273" i="7"/>
  <c r="P272" i="7"/>
  <c r="P201" i="7"/>
  <c r="P204" i="7"/>
  <c r="P203" i="7"/>
  <c r="P197" i="7"/>
  <c r="P205" i="7"/>
  <c r="P202" i="7"/>
  <c r="P200" i="7"/>
  <c r="P199" i="7"/>
  <c r="P198" i="7"/>
  <c r="P196" i="7"/>
  <c r="P195" i="7"/>
  <c r="P194" i="7"/>
  <c r="P193" i="7"/>
  <c r="P184" i="7"/>
  <c r="P183" i="7"/>
  <c r="P182" i="7"/>
  <c r="P181" i="7"/>
  <c r="P159" i="7"/>
  <c r="P161" i="7"/>
  <c r="P160" i="7"/>
  <c r="P163" i="7"/>
  <c r="P162" i="7"/>
  <c r="G272" i="7" l="1"/>
  <c r="I272" i="7" s="1"/>
  <c r="G267" i="7"/>
  <c r="G193" i="7"/>
  <c r="G162" i="7"/>
  <c r="P131" i="7" l="1"/>
  <c r="P133" i="7"/>
  <c r="P132" i="7"/>
  <c r="P127" i="7"/>
  <c r="P126" i="7"/>
  <c r="P125" i="7"/>
  <c r="P124" i="7"/>
  <c r="P123" i="7"/>
  <c r="P122" i="7"/>
  <c r="P121" i="7"/>
  <c r="P120" i="7"/>
  <c r="P119" i="7"/>
  <c r="P118" i="7"/>
  <c r="P117" i="7"/>
  <c r="P116" i="7"/>
  <c r="P115" i="7"/>
  <c r="P114" i="7"/>
  <c r="P113" i="7"/>
  <c r="P112" i="7"/>
  <c r="N108" i="7"/>
  <c r="P108" i="7" s="1"/>
  <c r="P107" i="7"/>
  <c r="N99" i="7"/>
  <c r="P99" i="7" s="1"/>
  <c r="P98" i="7"/>
  <c r="P97" i="7"/>
  <c r="G126" i="7" l="1"/>
  <c r="G124" i="7"/>
  <c r="G120" i="7"/>
  <c r="G107" i="7"/>
  <c r="I186" i="7" l="1"/>
  <c r="I185" i="7"/>
  <c r="E181" i="7"/>
  <c r="E180" i="7"/>
  <c r="I180" i="7" s="1"/>
  <c r="I179" i="7"/>
  <c r="I129" i="7"/>
  <c r="I61" i="7"/>
  <c r="I60" i="7"/>
  <c r="I59" i="7"/>
  <c r="I62" i="7"/>
  <c r="E200" i="7"/>
  <c r="G200" i="7" s="1"/>
  <c r="E196" i="7"/>
  <c r="G196" i="7" s="1"/>
  <c r="I206" i="7"/>
  <c r="G181" i="7" l="1"/>
  <c r="I181" i="7" s="1"/>
  <c r="I178" i="7" s="1"/>
  <c r="E281" i="7"/>
  <c r="E240" i="7"/>
  <c r="E66" i="7"/>
  <c r="I66" i="7" s="1"/>
  <c r="E188" i="7"/>
  <c r="I188" i="7" s="1"/>
  <c r="I164" i="7"/>
  <c r="I124" i="7" l="1"/>
  <c r="E25" i="7"/>
  <c r="E214" i="7" l="1"/>
  <c r="I43" i="7"/>
  <c r="E42" i="7"/>
  <c r="E30" i="7"/>
  <c r="I29" i="7"/>
  <c r="I56" i="7" l="1"/>
  <c r="I55" i="7"/>
  <c r="I54" i="7"/>
  <c r="I53" i="7"/>
  <c r="I52" i="7"/>
  <c r="I51" i="7"/>
  <c r="I50" i="7"/>
  <c r="I49" i="7"/>
  <c r="I48" i="7"/>
  <c r="I47" i="7"/>
  <c r="I46" i="7"/>
  <c r="I45" i="7"/>
  <c r="I44" i="7"/>
  <c r="I42" i="7"/>
  <c r="I41" i="7"/>
  <c r="I40" i="7"/>
  <c r="I39" i="7"/>
  <c r="I38" i="7"/>
  <c r="E34" i="7"/>
  <c r="I34" i="7" s="1"/>
  <c r="I33" i="7"/>
  <c r="E35" i="7"/>
  <c r="I37" i="7" l="1"/>
  <c r="E232" i="7"/>
  <c r="E229" i="7"/>
  <c r="E227" i="7"/>
  <c r="E239" i="7"/>
  <c r="E238" i="7"/>
  <c r="E237" i="7"/>
  <c r="C236" i="7"/>
  <c r="E241" i="7" s="1"/>
  <c r="E253" i="7"/>
  <c r="I253" i="7" s="1"/>
  <c r="C242" i="7"/>
  <c r="E247" i="7" s="1"/>
  <c r="E258" i="7"/>
  <c r="I258" i="7" s="1"/>
  <c r="E257" i="7"/>
  <c r="I257" i="7" s="1"/>
  <c r="E256" i="7"/>
  <c r="I256" i="7" s="1"/>
  <c r="E255" i="7"/>
  <c r="I255" i="7" s="1"/>
  <c r="E254" i="7"/>
  <c r="I254" i="7" s="1"/>
  <c r="E252" i="7"/>
  <c r="I252" i="7" s="1"/>
  <c r="E251" i="7"/>
  <c r="I251" i="7" s="1"/>
  <c r="C259" i="7"/>
  <c r="E264" i="7" s="1"/>
  <c r="E16" i="11"/>
  <c r="E28" i="15"/>
  <c r="E47" i="5"/>
  <c r="C24" i="5"/>
  <c r="C8" i="5"/>
  <c r="C38" i="5"/>
  <c r="C42" i="5"/>
  <c r="E218" i="7"/>
  <c r="E215" i="7"/>
  <c r="E213" i="7"/>
  <c r="E263" i="7" l="1"/>
  <c r="E248" i="7"/>
  <c r="E260" i="7"/>
  <c r="E249" i="7"/>
  <c r="E243" i="7"/>
  <c r="E245" i="7"/>
  <c r="E246" i="7"/>
  <c r="E244" i="7"/>
  <c r="E261" i="7"/>
  <c r="E262" i="7"/>
  <c r="G21" i="17"/>
  <c r="G20" i="17"/>
  <c r="E19" i="17"/>
  <c r="G19" i="17" s="1"/>
  <c r="G18" i="17"/>
  <c r="G17" i="17"/>
  <c r="G16" i="17"/>
  <c r="G14" i="17"/>
  <c r="G13" i="17"/>
  <c r="G12" i="17"/>
  <c r="G11" i="17"/>
  <c r="G10" i="17"/>
  <c r="G9" i="17"/>
  <c r="F8" i="17"/>
  <c r="G8" i="17" s="1"/>
  <c r="F7" i="17"/>
  <c r="G7" i="17" s="1"/>
  <c r="G6" i="17"/>
  <c r="G5" i="17"/>
  <c r="I65" i="7"/>
  <c r="I64" i="7"/>
  <c r="I83" i="7"/>
  <c r="G15" i="17" l="1"/>
  <c r="G4" i="17"/>
  <c r="G22" i="17" s="1"/>
  <c r="I84" i="7"/>
  <c r="E74" i="7"/>
  <c r="I74" i="7" s="1"/>
  <c r="E90" i="7"/>
  <c r="E159" i="7"/>
  <c r="G159" i="7" s="1"/>
  <c r="E158" i="7"/>
  <c r="E157" i="7"/>
  <c r="E152" i="7"/>
  <c r="E155" i="7"/>
  <c r="E151" i="7"/>
  <c r="E149" i="7"/>
  <c r="E150" i="7" s="1"/>
  <c r="E147" i="7"/>
  <c r="E146" i="7"/>
  <c r="E142" i="7"/>
  <c r="E138" i="7"/>
  <c r="E140" i="7" s="1"/>
  <c r="G57" i="6"/>
  <c r="G56" i="6"/>
  <c r="G55" i="6"/>
  <c r="G54" i="6"/>
  <c r="G52" i="6"/>
  <c r="G51" i="6"/>
  <c r="G50" i="6"/>
  <c r="G49" i="6"/>
  <c r="G48" i="6"/>
  <c r="G47" i="6"/>
  <c r="G46" i="6"/>
  <c r="G45" i="6"/>
  <c r="G44" i="6"/>
  <c r="G42" i="6"/>
  <c r="G41" i="6"/>
  <c r="G40" i="6"/>
  <c r="G39" i="6"/>
  <c r="G38" i="6"/>
  <c r="G37" i="6"/>
  <c r="G36" i="6"/>
  <c r="G35" i="6"/>
  <c r="G33" i="6"/>
  <c r="G32" i="6"/>
  <c r="G31" i="6"/>
  <c r="G30" i="6"/>
  <c r="G29" i="6"/>
  <c r="G28" i="6"/>
  <c r="G27" i="6"/>
  <c r="G26" i="6"/>
  <c r="G25" i="6"/>
  <c r="G24" i="6"/>
  <c r="G23" i="6"/>
  <c r="G22" i="6"/>
  <c r="G20" i="6"/>
  <c r="G19" i="6"/>
  <c r="G18" i="6"/>
  <c r="G17" i="6"/>
  <c r="G15" i="6"/>
  <c r="G14" i="6"/>
  <c r="G12" i="6"/>
  <c r="G11" i="6"/>
  <c r="G10" i="6"/>
  <c r="G9" i="6"/>
  <c r="G8" i="6"/>
  <c r="E139" i="7"/>
  <c r="E137" i="7"/>
  <c r="E110" i="7"/>
  <c r="E102" i="7"/>
  <c r="E105" i="7"/>
  <c r="I105" i="7" s="1"/>
  <c r="E100" i="7"/>
  <c r="E93" i="7"/>
  <c r="E96" i="7"/>
  <c r="E97" i="7"/>
  <c r="G97" i="7" s="1"/>
  <c r="G59" i="6" l="1"/>
  <c r="E131" i="7"/>
  <c r="G131" i="7" s="1"/>
  <c r="E116" i="7"/>
  <c r="G116" i="7" s="1"/>
  <c r="E112" i="7"/>
  <c r="G112" i="7" s="1"/>
  <c r="F294" i="7" l="1"/>
  <c r="I209" i="7" l="1"/>
  <c r="I77" i="7"/>
  <c r="G7" i="15" l="1"/>
  <c r="I219" i="7" l="1"/>
  <c r="I207" i="7" l="1"/>
  <c r="I192" i="7" l="1"/>
  <c r="I275" i="7"/>
  <c r="I189" i="7"/>
  <c r="I153" i="7"/>
  <c r="I241" i="7" l="1"/>
  <c r="I238" i="7"/>
  <c r="I240" i="7"/>
  <c r="I106" i="7" l="1"/>
  <c r="I109" i="7" l="1"/>
  <c r="I107" i="7"/>
  <c r="I104" i="7"/>
  <c r="I103" i="7"/>
  <c r="I102" i="7"/>
  <c r="I101" i="7"/>
  <c r="I100" i="7"/>
  <c r="I97" i="7"/>
  <c r="I96" i="7"/>
  <c r="I95" i="7"/>
  <c r="I94" i="7"/>
  <c r="I93" i="7"/>
  <c r="I110" i="7" l="1"/>
  <c r="I88" i="7"/>
  <c r="I73" i="7"/>
  <c r="I70" i="7" l="1"/>
  <c r="I20" i="7" l="1"/>
  <c r="I14" i="7"/>
  <c r="I210" i="7" l="1"/>
  <c r="I283" i="7" l="1"/>
  <c r="I281" i="7"/>
  <c r="I280" i="7"/>
  <c r="I279" i="7"/>
  <c r="I278" i="7"/>
  <c r="I277" i="7"/>
  <c r="I276" i="7"/>
  <c r="I270" i="7"/>
  <c r="I267" i="7"/>
  <c r="I266" i="7"/>
  <c r="I264" i="7"/>
  <c r="I263" i="7"/>
  <c r="I262" i="7"/>
  <c r="I261" i="7"/>
  <c r="I260" i="7"/>
  <c r="I249" i="7"/>
  <c r="I248" i="7"/>
  <c r="I247" i="7"/>
  <c r="I246" i="7"/>
  <c r="I245" i="7"/>
  <c r="I244" i="7"/>
  <c r="I243" i="7"/>
  <c r="I239" i="7"/>
  <c r="I237" i="7"/>
  <c r="I235" i="7"/>
  <c r="I234" i="7"/>
  <c r="I232" i="7"/>
  <c r="I231" i="7"/>
  <c r="I230" i="7"/>
  <c r="I229" i="7"/>
  <c r="I228" i="7"/>
  <c r="I227" i="7"/>
  <c r="I224" i="7"/>
  <c r="I223" i="7"/>
  <c r="I222" i="7"/>
  <c r="I220" i="7"/>
  <c r="I218" i="7"/>
  <c r="I217" i="7"/>
  <c r="I216" i="7"/>
  <c r="I215" i="7"/>
  <c r="I214" i="7"/>
  <c r="I213" i="7"/>
  <c r="I212" i="7"/>
  <c r="I211" i="7"/>
  <c r="I200" i="7"/>
  <c r="I196" i="7"/>
  <c r="I193" i="7"/>
  <c r="I190" i="7"/>
  <c r="I177" i="7"/>
  <c r="I175" i="7"/>
  <c r="I173" i="7"/>
  <c r="I171" i="7"/>
  <c r="I170" i="7"/>
  <c r="I169" i="7"/>
  <c r="I168" i="7"/>
  <c r="I167" i="7"/>
  <c r="I166" i="7"/>
  <c r="I165" i="7"/>
  <c r="I159" i="7"/>
  <c r="I158" i="7"/>
  <c r="I157" i="7"/>
  <c r="I156" i="7"/>
  <c r="I155" i="7"/>
  <c r="I154" i="7"/>
  <c r="I152" i="7"/>
  <c r="I151" i="7"/>
  <c r="I150" i="7"/>
  <c r="I149" i="7"/>
  <c r="I148" i="7"/>
  <c r="I147" i="7"/>
  <c r="I146" i="7"/>
  <c r="I145" i="7"/>
  <c r="I144" i="7"/>
  <c r="I143" i="7"/>
  <c r="I142" i="7"/>
  <c r="I141" i="7"/>
  <c r="I140" i="7"/>
  <c r="I139" i="7"/>
  <c r="I138" i="7"/>
  <c r="I137" i="7"/>
  <c r="I136" i="7"/>
  <c r="I134" i="7"/>
  <c r="I131" i="7"/>
  <c r="I130" i="7"/>
  <c r="I128" i="7"/>
  <c r="I126" i="7"/>
  <c r="I120" i="7"/>
  <c r="I116" i="7"/>
  <c r="I112" i="7"/>
  <c r="I90" i="7"/>
  <c r="I89" i="7"/>
  <c r="I87" i="7"/>
  <c r="I86" i="7"/>
  <c r="I85" i="7"/>
  <c r="I82" i="7"/>
  <c r="I81" i="7"/>
  <c r="I79" i="7"/>
  <c r="I78" i="7"/>
  <c r="I76" i="7"/>
  <c r="I75" i="7"/>
  <c r="I72" i="7"/>
  <c r="I71" i="7"/>
  <c r="I68" i="7"/>
  <c r="I67" i="7"/>
  <c r="I63" i="7"/>
  <c r="I36" i="7"/>
  <c r="I35" i="7"/>
  <c r="I32" i="7"/>
  <c r="I31" i="7"/>
  <c r="I30" i="7"/>
  <c r="I28" i="7"/>
  <c r="I26" i="7"/>
  <c r="I24" i="7"/>
  <c r="I23" i="7"/>
  <c r="I21" i="7"/>
  <c r="I19" i="7"/>
  <c r="I18" i="7"/>
  <c r="I17" i="7"/>
  <c r="I16" i="7"/>
  <c r="I15" i="7"/>
  <c r="I13" i="7"/>
  <c r="I12" i="7"/>
  <c r="I11" i="7"/>
  <c r="I58" i="7" l="1"/>
  <c r="I187" i="7"/>
  <c r="I259" i="7"/>
  <c r="I236" i="7"/>
  <c r="I80" i="7"/>
  <c r="I69" i="7"/>
  <c r="I282" i="7"/>
  <c r="I22" i="7"/>
  <c r="I289" i="7"/>
  <c r="I292" i="7"/>
  <c r="I293" i="7"/>
  <c r="I92" i="7"/>
  <c r="I162" i="7"/>
  <c r="I286" i="7"/>
  <c r="I290" i="7"/>
  <c r="I250" i="7"/>
  <c r="I208" i="7"/>
  <c r="I226" i="7"/>
  <c r="I172" i="7"/>
  <c r="I221" i="7"/>
  <c r="I233" i="7"/>
  <c r="I271" i="7"/>
  <c r="I265" i="7"/>
  <c r="I191" i="7"/>
  <c r="I176" i="7"/>
  <c r="I111" i="7"/>
  <c r="I27" i="7"/>
  <c r="I242" i="7"/>
  <c r="I25" i="7"/>
  <c r="I135" i="7" l="1"/>
  <c r="H294" i="7"/>
  <c r="I10" i="7"/>
  <c r="E24" i="5" l="1"/>
  <c r="E40" i="5"/>
  <c r="E38" i="5"/>
  <c r="E42" i="5"/>
  <c r="E4" i="5"/>
  <c r="E5" i="5"/>
  <c r="E6" i="5"/>
  <c r="E7" i="5"/>
  <c r="E8" i="5"/>
  <c r="E11" i="5"/>
  <c r="E12" i="5"/>
  <c r="E13" i="5"/>
  <c r="E14" i="5"/>
  <c r="E15" i="5"/>
  <c r="E16" i="5"/>
  <c r="E17" i="5"/>
  <c r="E18" i="5"/>
  <c r="E19" i="5"/>
  <c r="E20" i="5"/>
  <c r="E21" i="5"/>
  <c r="E22" i="5"/>
  <c r="E23" i="5"/>
  <c r="E25" i="5"/>
  <c r="E26" i="5"/>
  <c r="E27" i="5"/>
  <c r="E28" i="5"/>
  <c r="E29" i="5"/>
  <c r="E30" i="5"/>
  <c r="E31" i="5"/>
  <c r="E32" i="5"/>
  <c r="E33" i="5"/>
  <c r="E34" i="5"/>
  <c r="E35" i="5"/>
  <c r="E36" i="5"/>
  <c r="E44" i="5"/>
  <c r="E45" i="5"/>
  <c r="E46" i="5"/>
  <c r="E48" i="5"/>
  <c r="E49" i="5"/>
  <c r="E50" i="5"/>
  <c r="E51" i="5"/>
  <c r="E52" i="5"/>
  <c r="E53" i="5"/>
  <c r="E54" i="5"/>
  <c r="E55" i="5"/>
  <c r="E56" i="5"/>
  <c r="E4" i="15"/>
  <c r="E22" i="15" s="1"/>
  <c r="G22" i="15" s="1"/>
  <c r="C13" i="11"/>
  <c r="E13" i="11" s="1"/>
  <c r="E12" i="11"/>
  <c r="G5" i="15"/>
  <c r="G6" i="15"/>
  <c r="G8" i="15"/>
  <c r="G9" i="15"/>
  <c r="G10" i="15"/>
  <c r="G11" i="15"/>
  <c r="G12" i="15"/>
  <c r="G13" i="15"/>
  <c r="G14" i="15"/>
  <c r="G15" i="15"/>
  <c r="G16" i="15"/>
  <c r="G17" i="15"/>
  <c r="G18" i="15"/>
  <c r="G19" i="15"/>
  <c r="G20" i="15"/>
  <c r="G25" i="15"/>
  <c r="G26" i="15"/>
  <c r="G28" i="15"/>
  <c r="E18" i="11"/>
  <c r="E15" i="11"/>
  <c r="E14" i="11"/>
  <c r="E11" i="11"/>
  <c r="E10" i="11"/>
  <c r="E9" i="11"/>
  <c r="E8" i="11"/>
  <c r="E7" i="11"/>
  <c r="E6" i="11"/>
  <c r="E5" i="11"/>
  <c r="E4" i="11"/>
  <c r="G9" i="3"/>
  <c r="E9" i="3" s="1"/>
  <c r="G8" i="3"/>
  <c r="E8" i="3" s="1"/>
  <c r="G17" i="3"/>
  <c r="E17" i="3" s="1"/>
  <c r="G11" i="3"/>
  <c r="E11" i="3" s="1"/>
  <c r="G10" i="3"/>
  <c r="E10" i="3" s="1"/>
  <c r="F55" i="3"/>
  <c r="E13" i="3"/>
  <c r="E14" i="3"/>
  <c r="G41" i="3"/>
  <c r="F41" i="3" s="1"/>
  <c r="E41" i="3" s="1"/>
  <c r="E15" i="3"/>
  <c r="E16" i="3"/>
  <c r="G42" i="3"/>
  <c r="F42" i="3" s="1"/>
  <c r="E42" i="3" s="1"/>
  <c r="G40" i="3"/>
  <c r="F40" i="3" s="1"/>
  <c r="E40" i="3" s="1"/>
  <c r="E18" i="3"/>
  <c r="F52" i="3"/>
  <c r="E52" i="3" s="1"/>
  <c r="F53" i="3"/>
  <c r="E53" i="3" s="1"/>
  <c r="F51" i="3"/>
  <c r="E51" i="3" s="1"/>
  <c r="E50" i="3"/>
  <c r="E48" i="3"/>
  <c r="F47" i="3"/>
  <c r="E47" i="3" s="1"/>
  <c r="E49" i="3"/>
  <c r="F39" i="3"/>
  <c r="E39" i="3" s="1"/>
  <c r="F43" i="3"/>
  <c r="E43" i="3" s="1"/>
  <c r="F44" i="3"/>
  <c r="E44" i="3" s="1"/>
  <c r="F45" i="3"/>
  <c r="E45" i="3" s="1"/>
  <c r="F46" i="3"/>
  <c r="E46" i="3" s="1"/>
  <c r="F37" i="3"/>
  <c r="E37" i="3" s="1"/>
  <c r="F38" i="3"/>
  <c r="E38" i="3" s="1"/>
  <c r="F35" i="3"/>
  <c r="E35" i="3" s="1"/>
  <c r="F36" i="3"/>
  <c r="E36" i="3" s="1"/>
  <c r="F25" i="3"/>
  <c r="E25" i="3" s="1"/>
  <c r="K25" i="3" s="1"/>
  <c r="F26" i="3"/>
  <c r="E26" i="3" s="1"/>
  <c r="K26" i="3" s="1"/>
  <c r="F27" i="3"/>
  <c r="E27" i="3" s="1"/>
  <c r="K27" i="3" s="1"/>
  <c r="F28" i="3"/>
  <c r="E28" i="3" s="1"/>
  <c r="K28" i="3" s="1"/>
  <c r="F29" i="3"/>
  <c r="E29" i="3" s="1"/>
  <c r="K29" i="3" s="1"/>
  <c r="F30" i="3"/>
  <c r="E30" i="3" s="1"/>
  <c r="K30" i="3" s="1"/>
  <c r="F31" i="3"/>
  <c r="E31" i="3" s="1"/>
  <c r="K31" i="3" s="1"/>
  <c r="F32" i="3"/>
  <c r="E32" i="3" s="1"/>
  <c r="K32" i="3" s="1"/>
  <c r="F33" i="3"/>
  <c r="E33" i="3" s="1"/>
  <c r="K33" i="3" s="1"/>
  <c r="F34" i="3"/>
  <c r="E34" i="3" s="1"/>
  <c r="K34" i="3" s="1"/>
  <c r="F24" i="3"/>
  <c r="E24" i="3" s="1"/>
  <c r="K24" i="3" s="1"/>
  <c r="E23" i="3"/>
  <c r="E19" i="3"/>
  <c r="G29" i="15" l="1"/>
  <c r="G291" i="7" s="1"/>
  <c r="E57" i="5"/>
  <c r="D58" i="5" s="1"/>
  <c r="D19" i="11"/>
  <c r="E19" i="11" s="1"/>
  <c r="E20" i="11" s="1"/>
  <c r="G288" i="7" s="1"/>
  <c r="I288" i="7" l="1"/>
  <c r="I291" i="7"/>
  <c r="G294" i="7" l="1"/>
  <c r="I294" i="7" s="1"/>
  <c r="I287" i="7"/>
  <c r="I285" i="7" l="1"/>
  <c r="H296" i="7" l="1"/>
  <c r="I295" i="7" s="1"/>
</calcChain>
</file>

<file path=xl/comments1.xml><?xml version="1.0" encoding="utf-8"?>
<comments xmlns="http://schemas.openxmlformats.org/spreadsheetml/2006/main">
  <authors>
    <author/>
  </authors>
  <commentList>
    <comment ref="H158" authorId="0" shapeId="0">
      <text>
        <r>
          <rPr>
            <b/>
            <sz val="8"/>
            <color indexed="8"/>
            <rFont val="Tahoma"/>
            <family val="2"/>
            <charset val="204"/>
          </rPr>
          <t xml:space="preserve">Rsotnyk:
</t>
        </r>
        <r>
          <rPr>
            <sz val="8"/>
            <color indexed="8"/>
            <rFont val="Tahoma"/>
            <family val="2"/>
            <charset val="204"/>
          </rPr>
          <t xml:space="preserve"> постачання + кріпильні елементи
</t>
        </r>
      </text>
    </comment>
    <comment ref="F162" authorId="0" shapeId="0">
      <text>
        <r>
          <rPr>
            <b/>
            <sz val="9"/>
            <color indexed="8"/>
            <rFont val="Tahoma"/>
            <family val="2"/>
            <charset val="204"/>
          </rPr>
          <t xml:space="preserve">Купранець Р.В.:
</t>
        </r>
        <r>
          <rPr>
            <sz val="9"/>
            <color indexed="8"/>
            <rFont val="Tahoma"/>
            <family val="2"/>
            <charset val="204"/>
          </rPr>
          <t xml:space="preserve">Випробування щита
</t>
        </r>
      </text>
    </comment>
    <comment ref="H162" authorId="0" shapeId="0">
      <text>
        <r>
          <rPr>
            <b/>
            <sz val="9"/>
            <color indexed="8"/>
            <rFont val="Tahoma"/>
            <family val="2"/>
            <charset val="204"/>
          </rPr>
          <t xml:space="preserve">Купранець Р.В.:
</t>
        </r>
        <r>
          <rPr>
            <sz val="9"/>
            <color indexed="8"/>
            <rFont val="Tahoma"/>
            <family val="2"/>
            <charset val="204"/>
          </rPr>
          <t xml:space="preserve">Додаткова шина з автоматом для подачі напруги на щит операторної АГЗП при потребі зміни проекту
</t>
        </r>
      </text>
    </comment>
  </commentList>
</comments>
</file>

<file path=xl/comments2.xml><?xml version="1.0" encoding="utf-8"?>
<comments xmlns="http://schemas.openxmlformats.org/spreadsheetml/2006/main">
  <authors>
    <author>Вахула Марія</author>
  </authors>
  <commentList>
    <comment ref="H59" authorId="0" shapeId="0">
      <text>
        <r>
          <rPr>
            <b/>
            <sz val="9"/>
            <rFont val="Tahoma"/>
            <family val="2"/>
            <charset val="204"/>
          </rPr>
          <t>Вахула Марія:</t>
        </r>
        <r>
          <rPr>
            <sz val="9"/>
            <rFont val="Tahoma"/>
            <family val="2"/>
            <charset val="204"/>
          </rPr>
          <t xml:space="preserve">
На платформу необхідно винести найнижчу вартість</t>
        </r>
      </text>
    </comment>
  </commentList>
</comments>
</file>

<file path=xl/sharedStrings.xml><?xml version="1.0" encoding="utf-8"?>
<sst xmlns="http://schemas.openxmlformats.org/spreadsheetml/2006/main" count="1892" uniqueCount="1127">
  <si>
    <t>На будівництво:</t>
  </si>
  <si>
    <t>ТАБЛИЦЯ Договірної ціни</t>
  </si>
  <si>
    <t>1</t>
  </si>
  <si>
    <t>№ п/п</t>
  </si>
  <si>
    <t>Найменування робіт</t>
  </si>
  <si>
    <t>Основні будівельно-технічні показники</t>
  </si>
  <si>
    <t>Одиниця виміру</t>
  </si>
  <si>
    <t>Кількість</t>
  </si>
  <si>
    <t>ПРИМІТКИ ЗАМОВНИКА</t>
  </si>
  <si>
    <t>ПРИМІТКИ ПІДРЯДНИКА</t>
  </si>
  <si>
    <t>2</t>
  </si>
  <si>
    <t>3</t>
  </si>
  <si>
    <t>4</t>
  </si>
  <si>
    <t>5</t>
  </si>
  <si>
    <t>6</t>
  </si>
  <si>
    <t>7</t>
  </si>
  <si>
    <t>8</t>
  </si>
  <si>
    <t>9</t>
  </si>
  <si>
    <t>1.</t>
  </si>
  <si>
    <t>ПІДГОТОВЧІ РОБОТИ , ТИМЧАСОВІ , ПЕРЕБАЗУВАННЯ, ВІДРЯДНІ</t>
  </si>
  <si>
    <t>1.1</t>
  </si>
  <si>
    <t>Винесення осей будівель та споруд та меж ділянки в натуру, (з належними актами).</t>
  </si>
  <si>
    <t>послуга</t>
  </si>
  <si>
    <t xml:space="preserve">Відповідальність Підрядника </t>
  </si>
  <si>
    <t>1.2</t>
  </si>
  <si>
    <t>Геодезичне знімання АЗК після проведення будівельно-монтажних робіт ліцензійною організацією, та погодження знімання.</t>
  </si>
  <si>
    <t>1.3</t>
  </si>
  <si>
    <t>Зрізання дерев. Отримання акту обстеження, ордеру (договору) - включено в графу інших витрат. В розцінку включені дерева діаметром від 20см до 80 см.</t>
  </si>
  <si>
    <t>К-ть дерев які підлягають зрізці та вивезенню - 1шт. В розцінку включено корчування пеньків їх вивезенням та утилізацію.</t>
  </si>
  <si>
    <t>шт.</t>
  </si>
  <si>
    <t>1.4</t>
  </si>
  <si>
    <t>Влаштування покосу трави та вирубка чагарнику (самосів) в межах та вздовж території будівельного майданчику.</t>
  </si>
  <si>
    <t>Покіс -утримання міської території прилеглої до будівельного майданчика згідно розпорядження ком. підпр. благоустрою міської ради.</t>
  </si>
  <si>
    <t>м2</t>
  </si>
  <si>
    <t>Відповідальність Підрядника</t>
  </si>
  <si>
    <t>1.5</t>
  </si>
  <si>
    <t xml:space="preserve">Тимчасове огородження території, тимчасові ворота (утримання та демонтаж). </t>
  </si>
  <si>
    <t>м.п.</t>
  </si>
  <si>
    <t>1.6</t>
  </si>
  <si>
    <t>Установка миття коліс (завезення, утримання та вивезення дорожніх плит 2*3м -6шт, експлуатація миючих установок КЕРХЕР або аналог</t>
  </si>
  <si>
    <t>уточнити по факту -9 мп (б/у плити завезення, мотаж, експлуатація, демонтаж, вивезення)</t>
  </si>
  <si>
    <t>1.7</t>
  </si>
  <si>
    <r>
      <t xml:space="preserve">Використання дизель-генератора потужністю 26 Квт. В стовбець інших витрат включені кошти на амортизацію ДГ. </t>
    </r>
    <r>
      <rPr>
        <b/>
        <sz val="10"/>
        <rFont val="Verdana"/>
        <family val="2"/>
        <charset val="204"/>
      </rPr>
      <t>При потребі, обовязково погоджується з Замовником перед використанням!</t>
    </r>
  </si>
  <si>
    <t>Прямі витрати на дизель-генератор + амортизація. (уточнюється і закривається по факту)</t>
  </si>
  <si>
    <t>місяць</t>
  </si>
  <si>
    <t>Відповідальність Підрядника (залежність від вводу постійного та тимч. електропост.)</t>
  </si>
  <si>
    <t>1.8</t>
  </si>
  <si>
    <t>Тимчасове підключення електроенергії (на період будівництва для потреб будівельного майданчику). Оплачується, якщо є тимчасове електропостачання та не використовується ДГ.</t>
  </si>
  <si>
    <t>загальна довж. ел. лінії - 250мп (уточнюється по факту.) Прокладання кабелів за тимчасовою схемою до тимчасових щитів генпідрядника АВВГ 4*16- 250мп для потреб будівельного майданчику. Кабель - зворотній матеріал - закривається 30% вартості.</t>
  </si>
  <si>
    <t>1.10</t>
  </si>
  <si>
    <t>Тимчасове водопостачання</t>
  </si>
  <si>
    <t>Бак - 4м3 (200м3)</t>
  </si>
  <si>
    <t>м3</t>
  </si>
  <si>
    <t>1.11</t>
  </si>
  <si>
    <t>Тимчасові дороги та під'їзди, стоянки</t>
  </si>
  <si>
    <t>тип тимчасових доріг - щебінь
площа покриттів -550м2 (110м3)</t>
  </si>
  <si>
    <t>1.12</t>
  </si>
  <si>
    <t>Утримання  охорони об'єкту - 4 місяці  1людина 12 год/добу; 1 місяць воєнізована охорона  2 людини - 24 год/добу.</t>
  </si>
  <si>
    <t>на 5 місяцІв (оплата з охоронною організацією згідно договору погодженого з Замовником)</t>
  </si>
  <si>
    <t>міс</t>
  </si>
  <si>
    <t>1.13</t>
  </si>
  <si>
    <t>Перебазування будівельної техніки</t>
  </si>
  <si>
    <t>кількість одиниць техніки -5шт вартість диз. Палива - 49грн/літра</t>
  </si>
  <si>
    <t>шт</t>
  </si>
  <si>
    <t>1.14</t>
  </si>
  <si>
    <t>Влаштування тимчасових знаків</t>
  </si>
  <si>
    <t>Кількість -12 шт</t>
  </si>
  <si>
    <t>1.15</t>
  </si>
  <si>
    <t>Облаштування будівельного майданчику (склади, побутові приміщення, санвузли, приміщення для нарад та ін.)</t>
  </si>
  <si>
    <t>по факту одиниць - 5шт (мотаж,експлуатація,демонтаж)</t>
  </si>
  <si>
    <t xml:space="preserve"> шт.</t>
  </si>
  <si>
    <t>1.16</t>
  </si>
  <si>
    <t>люд.год.</t>
  </si>
  <si>
    <t>1.17</t>
  </si>
  <si>
    <t>Виконання та погодження проекту виконання робіт та тимчасової схеми ОДР.</t>
  </si>
  <si>
    <t>ПВР - 1шт. Тимч. ОДР з погодженням - 1шт. -виконаний (ліцензійна організація). Власне виконання.</t>
  </si>
  <si>
    <t>м</t>
  </si>
  <si>
    <t xml:space="preserve">Механізований демонтаж асфальтобетонного покриття. Демонтаж основи під асфальтобетоном 15см. </t>
  </si>
  <si>
    <t>Без збереження матеріалів</t>
  </si>
  <si>
    <t>ТЕХНОЛОГІЧНЕ ОБЛАДНАННЯ</t>
  </si>
  <si>
    <t>2.1</t>
  </si>
  <si>
    <r>
      <t>м</t>
    </r>
    <r>
      <rPr>
        <vertAlign val="superscript"/>
        <sz val="10"/>
        <rFont val="Verdana"/>
        <family val="2"/>
        <charset val="204"/>
      </rPr>
      <t>3</t>
    </r>
  </si>
  <si>
    <r>
      <t>м</t>
    </r>
    <r>
      <rPr>
        <vertAlign val="superscript"/>
        <sz val="10"/>
        <rFont val="Verdana"/>
        <family val="2"/>
        <charset val="204"/>
      </rPr>
      <t>2</t>
    </r>
  </si>
  <si>
    <t>Випробування якості ущільнення грунту незалежною організацією (вказана замовником зі звітом)</t>
  </si>
  <si>
    <t>точка.</t>
  </si>
  <si>
    <t>мп</t>
  </si>
  <si>
    <t xml:space="preserve">Відповідальність Підрядника  </t>
  </si>
  <si>
    <t>2.2</t>
  </si>
  <si>
    <t>ТЕХНОЛОГІЧНІ ТРУБОПРОВОДИ ТА ОБЛАДНАННЯ (БЕНЗИН І ДИЗПАЛИВО)</t>
  </si>
  <si>
    <t>2.2.1</t>
  </si>
  <si>
    <t>Загальнобудівельні роботи та монтаж приямків під окремостоячі ПРК (земляні роботи, бетонна основа, монтаж; розварювання до колон кутником, герметизація, без вартості приямку).</t>
  </si>
  <si>
    <t>2.2.2</t>
  </si>
  <si>
    <t>2.2.3</t>
  </si>
  <si>
    <t xml:space="preserve">Встановлення стовпчика заземлення бензовоза (земляні роботи, фундамент, монтаж металоконструкції, під'єднання до заземлювачів, монтаж щитка, троса (ПВ3 10мм2 - 20мп), струбцини, фарбування)  </t>
  </si>
  <si>
    <t>кількість стовбчиків - 1шт</t>
  </si>
  <si>
    <t>2.2.4</t>
  </si>
  <si>
    <t>Робота автокрана при демонтажі монтажі технологічних колодязів, підколодязників та розвантаженні автомашини з технологічним обладнанням на резервуарному парку</t>
  </si>
  <si>
    <t>надання послуг підряднику автокраном 8 маш.год.</t>
  </si>
  <si>
    <t>маш.год.</t>
  </si>
  <si>
    <t>2.3</t>
  </si>
  <si>
    <t>РЕЗЕРВУАР ГАЗОВИЙ підземний 10м3</t>
  </si>
  <si>
    <t>2.3.2</t>
  </si>
  <si>
    <t>Розвантаження резервуарів, зберігання.</t>
  </si>
  <si>
    <t>об'єм резервуарів - 10м3</t>
  </si>
  <si>
    <t>2.3.3</t>
  </si>
  <si>
    <t>2.3.4</t>
  </si>
  <si>
    <r>
      <t xml:space="preserve">Ущільнення дна котловану під фундаменти АГЗП + Фм-3 -1шт. </t>
    </r>
    <r>
      <rPr>
        <sz val="10"/>
        <color indexed="8"/>
        <rFont val="Verdana"/>
        <family val="2"/>
        <charset val="204"/>
      </rPr>
      <t>Загальна площа ущільнення становить -13м2.</t>
    </r>
  </si>
  <si>
    <t xml:space="preserve">Ущільнення площинними трамбівками вагою більшою за 150 кг. </t>
  </si>
  <si>
    <t>2.3.5</t>
  </si>
  <si>
    <t>точка</t>
  </si>
  <si>
    <t>2.3.6</t>
  </si>
  <si>
    <t>Влаштування бетонної підготовки під фундаменти АГЗП +Ф-3 товщ. 100мм</t>
  </si>
  <si>
    <t>2.3.7</t>
  </si>
  <si>
    <t>Загальнобудівельні роботи при монтажі резервуарку АГЗП +Ф-3 (влаштування монолітних фундаментів)</t>
  </si>
  <si>
    <t>2.3.8</t>
  </si>
  <si>
    <r>
      <t>Монтаж резервуару</t>
    </r>
    <r>
      <rPr>
        <sz val="10"/>
        <rFont val="Verdana"/>
        <family val="2"/>
        <charset val="204"/>
      </rPr>
      <t xml:space="preserve"> палива (монтаж резервуару, місцева гідроізоляція)</t>
    </r>
  </si>
  <si>
    <t>кількість резервуарів - 1
об'єм резервуар -10м3 (2,9тон)</t>
  </si>
  <si>
    <t>2.3.9</t>
  </si>
  <si>
    <r>
      <t>Загальнобудівельні роботи</t>
    </r>
    <r>
      <rPr>
        <sz val="10"/>
        <color indexed="8"/>
        <rFont val="Verdana"/>
        <family val="2"/>
        <charset val="204"/>
      </rPr>
      <t xml:space="preserve"> при монтажі </t>
    </r>
    <r>
      <rPr>
        <u/>
        <sz val="10"/>
        <color indexed="8"/>
        <rFont val="Verdana"/>
        <family val="2"/>
        <charset val="204"/>
      </rPr>
      <t>резервуарного парку</t>
    </r>
    <r>
      <rPr>
        <sz val="10"/>
        <color indexed="8"/>
        <rFont val="Verdana"/>
        <family val="2"/>
        <charset val="204"/>
      </rPr>
      <t xml:space="preserve"> (заземлення горизонтальне та вертикальне) Включено заземлення резервуару АГЗП з під'єднанням до стовпчика заземлення АТЦ (виконується окремим контуром).</t>
    </r>
  </si>
  <si>
    <t>м.п</t>
  </si>
  <si>
    <t>2.3.10</t>
  </si>
  <si>
    <t>Загальнобудівельні роботи після  монтажу фундаментів (засипання резервуарного парку з трамбуванням)</t>
  </si>
  <si>
    <t>2.4</t>
  </si>
  <si>
    <t xml:space="preserve">ГАЗОВІ ТЕХНОЛОГІЧНІ ТРУБОПРОВОДИ ТА ОБЛАДНАННЯ (ГАЗ)  </t>
  </si>
  <si>
    <t>2.4.1</t>
  </si>
  <si>
    <t>Монтаж футлярів електричних від АГЗП до приямка біля операторної. Протягування ТП50 від ГРК-1; ГРК-2 до  оператора.</t>
  </si>
  <si>
    <t>2.4.2</t>
  </si>
  <si>
    <t xml:space="preserve">Загальнобудівельні роботи перед монтажем футлярів (розроблення траншеї, основа під тр-ди ПВХ)   Трубопроводи прокладати з піщаною підсипкою 100мм та піщаною засипкою по них висотою 100мм. Земляні роботи (розробка траншеї та зворотня засипка) враховані в складовій розцінки робіт, </t>
  </si>
  <si>
    <t>2.4.3</t>
  </si>
  <si>
    <t xml:space="preserve">Загальнобудівельні роботи та монтаж приямків для кабелів (земляні роботи, власне приямки, монтаж, гідроізоляція, герметизація, фарбування) </t>
  </si>
  <si>
    <t xml:space="preserve">ПР-3 -1шт.
Арм.-0,021т, бетон кл С12/15(W4,F50) -1,2м3 
М. лист 1.0*1,44 товщ. 6мм -1шт. </t>
  </si>
  <si>
    <t>2.4.4</t>
  </si>
  <si>
    <r>
      <t xml:space="preserve">Протягування елетрокабелів та контрольних в футлярах електричних (зі стальками) до щита АГЗП та пропанової ємності та ГРК. 
</t>
    </r>
    <r>
      <rPr>
        <b/>
        <sz val="10"/>
        <color indexed="8"/>
        <rFont val="Verdana"/>
        <family val="2"/>
        <charset val="204"/>
      </rPr>
      <t>(К-сть уточ. По виконавчих схемах)</t>
    </r>
  </si>
  <si>
    <r>
      <t xml:space="preserve">Кабелі
</t>
    </r>
    <r>
      <rPr>
        <sz val="10"/>
        <color indexed="8"/>
        <rFont val="Verdana"/>
        <family val="2"/>
        <charset val="204"/>
      </rPr>
      <t>КВВГнг 7*1,5 -</t>
    </r>
    <r>
      <rPr>
        <b/>
        <sz val="10"/>
        <color indexed="8"/>
        <rFont val="Verdana"/>
        <family val="2"/>
        <charset val="204"/>
      </rPr>
      <t xml:space="preserve">90мп
</t>
    </r>
    <r>
      <rPr>
        <sz val="10"/>
        <color indexed="8"/>
        <rFont val="Verdana"/>
        <family val="2"/>
        <charset val="204"/>
      </rPr>
      <t>ВВГнг 4*2,5 -</t>
    </r>
    <r>
      <rPr>
        <b/>
        <sz val="10"/>
        <color indexed="8"/>
        <rFont val="Verdana"/>
        <family val="2"/>
        <charset val="204"/>
      </rPr>
      <t xml:space="preserve">50мп
</t>
    </r>
    <r>
      <rPr>
        <sz val="10"/>
        <color indexed="8"/>
        <rFont val="Verdana"/>
        <family val="2"/>
        <charset val="204"/>
      </rPr>
      <t>ВВГнг 3*1,5 ЕКМ -</t>
    </r>
    <r>
      <rPr>
        <b/>
        <sz val="10"/>
        <color indexed="8"/>
        <rFont val="Verdana"/>
        <family val="2"/>
        <charset val="204"/>
      </rPr>
      <t xml:space="preserve">50мп
</t>
    </r>
    <r>
      <rPr>
        <sz val="10"/>
        <color indexed="8"/>
        <rFont val="Verdana"/>
        <family val="2"/>
        <charset val="204"/>
      </rPr>
      <t>ВВГнг 5*4 -</t>
    </r>
    <r>
      <rPr>
        <b/>
        <sz val="10"/>
        <color indexed="8"/>
        <rFont val="Verdana"/>
        <family val="2"/>
        <charset val="204"/>
      </rPr>
      <t>20мп</t>
    </r>
    <r>
      <rPr>
        <sz val="10"/>
        <color indexed="8"/>
        <rFont val="Verdana"/>
        <family val="2"/>
        <charset val="204"/>
      </rPr>
      <t xml:space="preserve"> (від ГРШ до 
щита АГЗП)
освітлення навіс -</t>
    </r>
    <r>
      <rPr>
        <b/>
        <sz val="10"/>
        <color indexed="8"/>
        <rFont val="Verdana"/>
        <family val="2"/>
        <charset val="204"/>
      </rPr>
      <t xml:space="preserve">0м.
</t>
    </r>
    <r>
      <rPr>
        <sz val="10"/>
        <color indexed="8"/>
        <rFont val="Verdana"/>
        <family val="2"/>
        <charset val="204"/>
      </rPr>
      <t xml:space="preserve">Гарантов живлення - </t>
    </r>
    <r>
      <rPr>
        <b/>
        <sz val="10"/>
        <color indexed="8"/>
        <rFont val="Verdana"/>
        <family val="2"/>
        <charset val="204"/>
      </rPr>
      <t>20м</t>
    </r>
  </si>
  <si>
    <t>2.4.5</t>
  </si>
  <si>
    <r>
      <t xml:space="preserve">Протягування елетрокабелів та контрольних в футлярах електричних (зі стальками) до щита АГЗП та пропанової ємності та ПРК. 
</t>
    </r>
    <r>
      <rPr>
        <b/>
        <sz val="10"/>
        <color indexed="8"/>
        <rFont val="Verdana"/>
        <family val="2"/>
        <charset val="204"/>
      </rPr>
      <t>(К-сть уточ. По виконавчих схемах)</t>
    </r>
  </si>
  <si>
    <t>2.4.6</t>
  </si>
  <si>
    <t xml:space="preserve"> Протекторний захист резервуару</t>
  </si>
  <si>
    <t xml:space="preserve">ПМ-20У - 1шт.
Блок сум.pахист БЗК-10 -1 шт.
Електрод порів ЕНЕС-1 -1 шт.
Контрольно-вим.пункт -1 шт.
Перевірка потенціалу та складання виконавчо-технічної документації по протекторному захисту. 
</t>
  </si>
  <si>
    <t>компл</t>
  </si>
  <si>
    <t>2.4.7</t>
  </si>
  <si>
    <t xml:space="preserve">Встановлення стовпчика заземлення бензовоза (земляні роботи, фундаменти, монтаж металоконструкції, під'єднання до заземлювачів, монтаж щитка, троса (ПВ3 10мм2 - 20м.п.), струбцини, фарбування)  </t>
  </si>
  <si>
    <t>2.4.8</t>
  </si>
  <si>
    <r>
      <t>Влаштування огорожі ЗО -</t>
    </r>
    <r>
      <rPr>
        <b/>
        <sz val="10"/>
        <rFont val="Verdana"/>
        <family val="2"/>
        <charset val="204"/>
      </rPr>
      <t>відбійник</t>
    </r>
    <r>
      <rPr>
        <sz val="10"/>
        <rFont val="Verdana"/>
        <family val="2"/>
        <charset val="204"/>
      </rPr>
      <t>, фарбування</t>
    </r>
  </si>
  <si>
    <t>тн</t>
  </si>
  <si>
    <t xml:space="preserve">БУДІВЛЯ АЗК (АЗС) </t>
  </si>
  <si>
    <t>3.1</t>
  </si>
  <si>
    <t xml:space="preserve">НУЛЬОВИЙ ЦИКЛ АЗС </t>
  </si>
  <si>
    <t>3.1.1</t>
  </si>
  <si>
    <t>Виємка грунту механізована до дна корита фундаментів (до відм. 358,3) +фундаменти літнього навісу</t>
  </si>
  <si>
    <t>3.1.2</t>
  </si>
  <si>
    <t xml:space="preserve">Ущільнення дна траншеї під влаштування з/б фундаментів операторної. Загальна площа ущільнення становить -60м2. </t>
  </si>
  <si>
    <t>Ущільнення площинними трамбівками вагою більшою за 150 кг. до коефіцієнту ущільнення основи грунту 0,98 до досягненні щільності сухого грунту 1,6т/м3.</t>
  </si>
  <si>
    <t>3.1.3</t>
  </si>
  <si>
    <t>3.1.4</t>
  </si>
  <si>
    <t>Влаштування бетонної підготовки товщ. 100мм</t>
  </si>
  <si>
    <t>3.1.5</t>
  </si>
  <si>
    <t>Роботи нульового циклу (улаштування опалубки, всього монолітного з/б фундаменту, закладні, арматурна сітка та каркаси, бетонування)</t>
  </si>
  <si>
    <t>3.1.6</t>
  </si>
  <si>
    <t xml:space="preserve">Загальнобудівельні роботи при монтажі заземлення (загальне заземлення операторної горизонтальне та вертикальне) </t>
  </si>
  <si>
    <t>3.1.7</t>
  </si>
  <si>
    <r>
      <t>Роботи нульового циклу (обернена засипка під підлоги і відмостку з грунтом з виємки та</t>
    </r>
    <r>
      <rPr>
        <b/>
        <i/>
        <sz val="10"/>
        <rFont val="Verdana"/>
        <family val="2"/>
        <charset val="204"/>
      </rPr>
      <t xml:space="preserve"> нового піску</t>
    </r>
    <r>
      <rPr>
        <sz val="10"/>
        <rFont val="Verdana"/>
        <family val="2"/>
        <charset val="204"/>
      </rPr>
      <t>) з пошаровим трамбуванням кожні 15-20см. Включена засипка пазух фундаментів із зовнішньої сторони під відмостку шириною 1м</t>
    </r>
  </si>
  <si>
    <t>3.1.8</t>
  </si>
  <si>
    <t>3.1.9</t>
  </si>
  <si>
    <t>Роботи нульового циклу операторної (земляні роботи, футляри проходження комунікацій D50)</t>
  </si>
  <si>
    <t>3.1.10</t>
  </si>
  <si>
    <t>Ущільнення основи перед влаштування чорнової монолітної підлоги операторної. Загальна площа ущільнення становить -217м2.</t>
  </si>
  <si>
    <t>3.1.11</t>
  </si>
  <si>
    <t>Влаштування бетонної підготовки товщ. 100мм під чорнову підлогу</t>
  </si>
  <si>
    <t>3.1.12</t>
  </si>
  <si>
    <t>Роботи нульового циклу, влаштування  армованої чорнової монолітної підлоги товщиною 150мм</t>
  </si>
  <si>
    <t>3.1.13</t>
  </si>
  <si>
    <t>Роботи ПО ЧИТОВІЙ ПІДЛОЗІ (повний проектний пиріг чистової підлоги)</t>
  </si>
  <si>
    <t>Стяжка М200 - 60мм армована м. сіткою d=4мм  ВрI 
ПСБ-35 -10см (50+50мм)</t>
  </si>
  <si>
    <t>3.1.14</t>
  </si>
  <si>
    <t>Влаштування горизонтальної та вертикальної гідроізоляції два шари гідроізолу на бітумній мастиці</t>
  </si>
  <si>
    <t xml:space="preserve">м2
</t>
  </si>
  <si>
    <t>3.2</t>
  </si>
  <si>
    <t>НАЗЕМНА ЧАСТИНА  АЗС</t>
  </si>
  <si>
    <t>3.2.1</t>
  </si>
  <si>
    <t>Стіни та перегородки (колони операторної, виготовлення та монтаж + пофарбування)</t>
  </si>
  <si>
    <t>т</t>
  </si>
  <si>
    <t>3.2.2</t>
  </si>
  <si>
    <t>ПЕРЕКРИТТЯ (виготовлення та монтаж +пофарбування ферми, балки, прогони, зв'язки, закладні)</t>
  </si>
  <si>
    <t>3.2.3</t>
  </si>
  <si>
    <t>Літній навіс</t>
  </si>
  <si>
    <t>3.2.4</t>
  </si>
  <si>
    <t>3.2.5</t>
  </si>
  <si>
    <t>3.2.6</t>
  </si>
  <si>
    <t>Розкріплення перегородок першого поверху в кутах та в дверних прорізах і кріплення інсталяції умивальників, рукосушок, бойлера та унітазів</t>
  </si>
  <si>
    <t xml:space="preserve">Профільна труба 60*40*3 -200мп (920кг)
Кріпильні і зварювальні роботи </t>
  </si>
  <si>
    <t>т.</t>
  </si>
  <si>
    <t>3.2.8</t>
  </si>
  <si>
    <t>Перегородки г/к (внутрішні стіни, перегородки) 
Каркас під всі г/к перегородки виконується на всю висоту - 4,3м.п. Гіпсокартон на перегоротках на висоту 3,1м (торговий зал гіпсокартон на всю висоту).</t>
  </si>
  <si>
    <t>3.2.9</t>
  </si>
  <si>
    <t>3.2.10</t>
  </si>
  <si>
    <t>Закупівля пожежної драбини (вартість алюмінієвої драбини + конструкція, монтажні роботи)</t>
  </si>
  <si>
    <r>
      <t xml:space="preserve">Висота драбини - до </t>
    </r>
    <r>
      <rPr>
        <b/>
        <sz val="10"/>
        <color indexed="8"/>
        <rFont val="Verdana"/>
        <family val="2"/>
        <charset val="204"/>
      </rPr>
      <t xml:space="preserve">6м. </t>
    </r>
    <r>
      <rPr>
        <sz val="10"/>
        <color indexed="8"/>
        <rFont val="Verdana"/>
        <family val="2"/>
        <charset val="204"/>
      </rPr>
      <t xml:space="preserve">
Погодження Замовника</t>
    </r>
  </si>
  <si>
    <t>3.3</t>
  </si>
  <si>
    <t>ОЗДОБЛЕННЯ ВНУТРІШНЄ І ВНУТРІШНІ МЕРЕЖІ АЗС операторна</t>
  </si>
  <si>
    <t>3.3.1</t>
  </si>
  <si>
    <r>
      <t>Зовнішні оздоблювальні роботи (теплоізоляція цоколя пінопластом (ширина 1м під плитку та 0,5м під вітражем), штукатурення по утеплювачу із застосуванням склосітки, оздоблення надземної частини цоколя керамічною плиткою (0,3м)</t>
    </r>
    <r>
      <rPr>
        <sz val="10"/>
        <color indexed="10"/>
        <rFont val="Verdana"/>
        <family val="2"/>
        <charset val="204"/>
      </rPr>
      <t xml:space="preserve"> Без вартості плитки (п 10.1.2)</t>
    </r>
  </si>
  <si>
    <t>3.3.2</t>
  </si>
  <si>
    <r>
      <t xml:space="preserve">Внутрішні оздоблювальні роботи (оздоблення керамічною плиткою підлог </t>
    </r>
    <r>
      <rPr>
        <b/>
        <sz val="10"/>
        <color indexed="8"/>
        <rFont val="Verdana"/>
        <family val="2"/>
        <charset val="204"/>
      </rPr>
      <t>операторно</t>
    </r>
    <r>
      <rPr>
        <sz val="10"/>
        <color indexed="8"/>
        <rFont val="Verdana"/>
        <family val="2"/>
        <charset val="204"/>
      </rPr>
      <t>ї, влаштування плінтусів з керам. плитки),</t>
    </r>
    <r>
      <rPr>
        <sz val="10"/>
        <color rgb="FFFF0000"/>
        <rFont val="Verdana"/>
        <family val="2"/>
        <charset val="204"/>
      </rPr>
      <t xml:space="preserve"> без вартості плитки (п 10.1.2)</t>
    </r>
  </si>
  <si>
    <t>3.3.3</t>
  </si>
  <si>
    <r>
      <t xml:space="preserve">Внутрішні оздоблювальні роботи </t>
    </r>
    <r>
      <rPr>
        <b/>
        <sz val="10"/>
        <color indexed="8"/>
        <rFont val="Verdana"/>
        <family val="2"/>
        <charset val="204"/>
      </rPr>
      <t xml:space="preserve">операторної </t>
    </r>
    <r>
      <rPr>
        <sz val="10"/>
        <color indexed="8"/>
        <rFont val="Verdana"/>
        <family val="2"/>
        <charset val="204"/>
      </rPr>
      <t xml:space="preserve">(шпаклювання) згідно відомості опорядження приміщень .У розцінку включено грунтування </t>
    </r>
  </si>
  <si>
    <t>3.3.4</t>
  </si>
  <si>
    <r>
      <t xml:space="preserve">Внутрішні оздоблювальні роботи (оздоблення керамічною плиткою стін </t>
    </r>
    <r>
      <rPr>
        <b/>
        <sz val="10"/>
        <color indexed="8"/>
        <rFont val="Verdana"/>
        <family val="2"/>
        <charset val="204"/>
      </rPr>
      <t>операторної</t>
    </r>
    <r>
      <rPr>
        <sz val="10"/>
        <color indexed="8"/>
        <rFont val="Verdana"/>
        <family val="2"/>
        <charset val="204"/>
      </rPr>
      <t xml:space="preserve">), </t>
    </r>
    <r>
      <rPr>
        <sz val="10"/>
        <color rgb="FFFF0000"/>
        <rFont val="Verdana"/>
        <family val="2"/>
        <charset val="204"/>
      </rPr>
      <t>без  вартості плитки (п. 10.1.2)</t>
    </r>
  </si>
  <si>
    <t>3.3.5</t>
  </si>
  <si>
    <t>3.3.6</t>
  </si>
  <si>
    <r>
      <t xml:space="preserve">Внутрішні оздоблювальні роботи (підвісні стелі) </t>
    </r>
    <r>
      <rPr>
        <b/>
        <sz val="10"/>
        <color indexed="8"/>
        <rFont val="Verdana"/>
        <family val="2"/>
        <charset val="204"/>
      </rPr>
      <t>операторної.</t>
    </r>
    <r>
      <rPr>
        <sz val="10"/>
        <color indexed="8"/>
        <rFont val="Verdana"/>
        <family val="2"/>
        <charset val="204"/>
      </rPr>
      <t xml:space="preserve">. </t>
    </r>
  </si>
  <si>
    <t>3.3.7</t>
  </si>
  <si>
    <t>3.3.8</t>
  </si>
  <si>
    <r>
      <t xml:space="preserve">Внутрішні оздоблювальні роботи (підвісні стелі) </t>
    </r>
    <r>
      <rPr>
        <b/>
        <sz val="10"/>
        <color indexed="8"/>
        <rFont val="Verdana"/>
        <family val="2"/>
        <charset val="204"/>
      </rPr>
      <t>операторної</t>
    </r>
    <r>
      <rPr>
        <sz val="10"/>
        <color indexed="8"/>
        <rFont val="Verdana"/>
        <family val="2"/>
        <charset val="204"/>
      </rPr>
      <t xml:space="preserve"> </t>
    </r>
  </si>
  <si>
    <t>3.3.9</t>
  </si>
  <si>
    <t>3.3.10</t>
  </si>
  <si>
    <t>Монтаж ламінату на стіни, колони, короби (Власне ламінат - поставка Замовника. Решту матеріалів: клей, грунтовка, …- поставка підрядника</t>
  </si>
  <si>
    <t>3.3.11</t>
  </si>
  <si>
    <t>Включає всі витрати</t>
  </si>
  <si>
    <t>3.3.12</t>
  </si>
  <si>
    <t>Монтаж профілів та кутників алюмінієвих</t>
  </si>
  <si>
    <t>3.3.13</t>
  </si>
  <si>
    <t>Влаштування мозаїки на стіни</t>
  </si>
  <si>
    <t>Включає всі витрати.
Попереднє погодження з Замовником.</t>
  </si>
  <si>
    <t>3.3.14</t>
  </si>
  <si>
    <r>
      <t xml:space="preserve">ОЗДОБЛЮВАЛЬНІ РОБОТИ В ОПЕРАТОРНІЙ
ДЛЯ ПРИВЕДЕННЯ ДО СТАНДАРТУ </t>
    </r>
    <r>
      <rPr>
        <b/>
        <sz val="10"/>
        <color indexed="8"/>
        <rFont val="Verdana"/>
        <family val="2"/>
        <charset val="204"/>
      </rPr>
      <t>"Американський бренд"</t>
    </r>
  </si>
  <si>
    <t>Влаштування гквс коробів включно з каркасом зі шпаклюваням швів</t>
  </si>
  <si>
    <t>3.3.15</t>
  </si>
  <si>
    <t>Шпаклювання старт + фініш</t>
  </si>
  <si>
    <t>3.3.16</t>
  </si>
  <si>
    <t>Високоякісне пофарбування коробів за 2-3 рази</t>
  </si>
  <si>
    <t>3.3.17</t>
  </si>
  <si>
    <t>Високоякісне пофарбування за межами коробів в колір RAL 7024</t>
  </si>
  <si>
    <t>3.3.18</t>
  </si>
  <si>
    <r>
      <t xml:space="preserve">Водопровід холодної води </t>
    </r>
    <r>
      <rPr>
        <b/>
        <sz val="10"/>
        <color indexed="8"/>
        <rFont val="Verdana"/>
        <family val="2"/>
        <charset val="204"/>
      </rPr>
      <t xml:space="preserve">операторної   (В1) </t>
    </r>
    <r>
      <rPr>
        <sz val="10"/>
        <color indexed="8"/>
        <rFont val="Verdana"/>
        <family val="2"/>
        <charset val="204"/>
      </rPr>
      <t xml:space="preserve">(пробивання отворів у стінах та перегородках, зароблення проходів, прокладання трубопроводів
поліпропіленових, теплоізоляція) </t>
    </r>
  </si>
  <si>
    <t>3.3.19</t>
  </si>
  <si>
    <t>Водопровід холодної води (В1)
Влаштування водомірного вузла з підключення повіренням, пломбуванням.</t>
  </si>
  <si>
    <t xml:space="preserve">Водомірний вузол:
Лічильник (згони, крани, фільтри, клапани …) -1шт
</t>
  </si>
  <si>
    <t>3.3.20</t>
  </si>
  <si>
    <t>Водопровід холодної води операторної   (В1) Монтаж окремого обладнання включно з арматурою та обв'язкою</t>
  </si>
  <si>
    <t>3.3.21</t>
  </si>
  <si>
    <r>
      <t xml:space="preserve">Водопровід гарячої води </t>
    </r>
    <r>
      <rPr>
        <b/>
        <sz val="10"/>
        <color indexed="8"/>
        <rFont val="Verdana"/>
        <family val="2"/>
        <charset val="204"/>
      </rPr>
      <t>операторно</t>
    </r>
    <r>
      <rPr>
        <sz val="10"/>
        <color indexed="8"/>
        <rFont val="Verdana"/>
        <family val="2"/>
        <charset val="204"/>
      </rPr>
      <t xml:space="preserve">ї </t>
    </r>
    <r>
      <rPr>
        <b/>
        <sz val="10"/>
        <color indexed="8"/>
        <rFont val="Verdana"/>
        <family val="2"/>
        <charset val="204"/>
      </rPr>
      <t>(ТЗ)</t>
    </r>
    <r>
      <rPr>
        <sz val="10"/>
        <color indexed="8"/>
        <rFont val="Verdana"/>
        <family val="2"/>
        <charset val="204"/>
      </rPr>
      <t>(пробивання отворів у стінах та перегородках, зароблення проходів, прокладання трубопроводів поліпропіленових, теплоізол)</t>
    </r>
  </si>
  <si>
    <t>3.3.22</t>
  </si>
  <si>
    <t>Монтаж бойлера електричного</t>
  </si>
  <si>
    <t>ARISTON SG-100 -1шт
Включно з кранами та обв'язкою</t>
  </si>
  <si>
    <t>3.3.23</t>
  </si>
  <si>
    <t>3.3.24</t>
  </si>
  <si>
    <t>3.3.25</t>
  </si>
  <si>
    <r>
      <t xml:space="preserve">Електромонтажні роботи </t>
    </r>
    <r>
      <rPr>
        <b/>
        <sz val="10"/>
        <color indexed="8"/>
        <rFont val="Verdana"/>
        <family val="2"/>
        <charset val="204"/>
      </rPr>
      <t xml:space="preserve">операторної </t>
    </r>
    <r>
      <rPr>
        <sz val="10"/>
        <color indexed="8"/>
        <rFont val="Verdana"/>
        <family val="2"/>
        <charset val="204"/>
      </rPr>
      <t xml:space="preserve"> (свердління отворів, вибивання гнізд, монтаж розподільчих коробок, прокладання кабельної каналізації, влаштування кабельних каналів, прокладання кабелів, монтаж вимикачів, розеток, під'єднання електроприладів, пуско-налагодження системи).</t>
    </r>
  </si>
  <si>
    <t>3.3.26</t>
  </si>
  <si>
    <t>компл.</t>
  </si>
  <si>
    <t>3.3.27</t>
  </si>
  <si>
    <t>Допомого у монтажі контрольного щита підключення голів ПРК (КШ)</t>
  </si>
  <si>
    <t>перелік щитів: 1 шт</t>
  </si>
  <si>
    <t>3.3.28</t>
  </si>
  <si>
    <t>Внутрішнє електроосвітлення ОПЕРАТОРНОЇ (світильники в підшивну стелю "Армстронг" та грильято, світильники на підшивну стелю+зовнішні, аварійні, точкові, підсвітка ніш, Хот-Кафе) без вартості світильників. 
Вартість враховано у п.10.1.3</t>
  </si>
  <si>
    <t>3.3.29</t>
  </si>
  <si>
    <r>
      <t xml:space="preserve">Внутрішні оздоблювальні роботи (монтаж дзеркал в туалетах відвідувачів </t>
    </r>
    <r>
      <rPr>
        <b/>
        <sz val="10"/>
        <color indexed="8"/>
        <rFont val="Verdana"/>
        <family val="2"/>
        <charset val="204"/>
      </rPr>
      <t>операторної</t>
    </r>
    <r>
      <rPr>
        <sz val="10"/>
        <color indexed="8"/>
        <rFont val="Verdana"/>
        <family val="2"/>
        <charset val="204"/>
      </rPr>
      <t xml:space="preserve">). Окантовка дзеркала алюмінієвим кутником. Вартість дзеркал включена в </t>
    </r>
    <r>
      <rPr>
        <b/>
        <sz val="10"/>
        <color indexed="8"/>
        <rFont val="Verdana"/>
        <family val="2"/>
        <charset val="204"/>
      </rPr>
      <t>п. 10.1.2.</t>
    </r>
  </si>
  <si>
    <t>3.3.30</t>
  </si>
  <si>
    <t>Монтаж переданих рекламних конструкцій Замовника з підключенням.</t>
  </si>
  <si>
    <t>Загальна к-ть -7шт.
На обшивку операторної 2шт.  сітілайтів світлових. Всередені операторної фрейм -лайти та сіті-лайти -5шт.</t>
  </si>
  <si>
    <t>3.3.31</t>
  </si>
  <si>
    <t>Монтаж поручнів для інвалідів.</t>
  </si>
  <si>
    <t>комплект - 1шт.</t>
  </si>
  <si>
    <t>3.3.32</t>
  </si>
  <si>
    <t>Облицювання алюмінієвим листом приямків</t>
  </si>
  <si>
    <t xml:space="preserve">Приямок ГРШ та                                             приямок серверної шафи  </t>
  </si>
  <si>
    <t>3.3.33</t>
  </si>
  <si>
    <t>Різні роботи (ревізійні дверцята -3шт; дверні відбійники -8шт, зароблення душових піддонів -1шт, підвіконня -4шт, прорізання прорізів -комплект)</t>
  </si>
  <si>
    <t>3.4</t>
  </si>
  <si>
    <t>ОВ ТА ТЕЛ. ВНУТ.ІНЖЕНЕРНІ СИСТЕМИ  АЗС</t>
  </si>
  <si>
    <t>3.4.1</t>
  </si>
  <si>
    <t>Телефонізація (телефонні кабелі, телефонні розетки, Металорукав) Кабель FTP, розетки - 1 шт.</t>
  </si>
  <si>
    <r>
      <t xml:space="preserve">загальна довжина кабелів FTP- </t>
    </r>
    <r>
      <rPr>
        <b/>
        <sz val="10"/>
        <rFont val="Verdana"/>
        <family val="2"/>
        <charset val="204"/>
      </rPr>
      <t>150м.п.</t>
    </r>
    <r>
      <rPr>
        <sz val="10"/>
        <rFont val="Verdana"/>
        <family val="2"/>
        <charset val="204"/>
      </rPr>
      <t xml:space="preserve"> Розетка телефонна подвійна TF2-201 - 1шт.     Гофра ПВХ темно-сіра - 55м.п. Коробка розп. КРТП-30*2-шт.</t>
    </r>
  </si>
  <si>
    <t>3.4.2</t>
  </si>
  <si>
    <r>
      <rPr>
        <b/>
        <sz val="10"/>
        <rFont val="Verdana"/>
        <family val="2"/>
        <charset val="204"/>
      </rPr>
      <t>Система опалення та кондиціювання</t>
    </r>
    <r>
      <rPr>
        <sz val="10"/>
        <rFont val="Verdana"/>
        <family val="2"/>
        <charset val="204"/>
      </rPr>
      <t xml:space="preserve"> операторної та Хот-Кафе (монтаж обладнання, конвекторів опалення, теплова завіса, рушникосушка, повітропроводів, автоматики, регуляторів, вимикачів, повітрозаборів, решіток, утеплення повітропроводів)</t>
    </r>
  </si>
  <si>
    <t>Закривається по факту</t>
  </si>
  <si>
    <t>3.4.3</t>
  </si>
  <si>
    <r>
      <rPr>
        <b/>
        <sz val="10"/>
        <rFont val="Verdana"/>
        <family val="2"/>
        <charset val="204"/>
      </rPr>
      <t>Додаткова вентиляція</t>
    </r>
    <r>
      <rPr>
        <sz val="10"/>
        <rFont val="Verdana"/>
        <family val="2"/>
        <charset val="204"/>
      </rPr>
      <t xml:space="preserve"> для потреб Хот- Кафе (монтаж обладнання, підключення, регулювання та пусконалагоджувальні роботи)</t>
    </r>
  </si>
  <si>
    <t>3.5</t>
  </si>
  <si>
    <t>ПОЖЕЖКА ТА ІНШЕ</t>
  </si>
  <si>
    <t>3.5.1</t>
  </si>
  <si>
    <t>Відеонагляд. Влаштування окремої ТП50, земляні роботи, піщана подушка з присипкою піском, оберенена засипка. Влаштування приямка відеонагляду. Влаштування опор з фундаментами Н=3м - 2шт.
Вартість обладнання відділу СБ</t>
  </si>
  <si>
    <r>
      <t>Прокладання ТП 50 з протяжками -</t>
    </r>
    <r>
      <rPr>
        <b/>
        <sz val="10"/>
        <color indexed="8"/>
        <rFont val="Verdana"/>
        <family val="2"/>
        <charset val="204"/>
      </rPr>
      <t xml:space="preserve"> 300м.п.
</t>
    </r>
    <r>
      <rPr>
        <sz val="10"/>
        <color indexed="8"/>
        <rFont val="Verdana"/>
        <family val="2"/>
        <charset val="204"/>
      </rPr>
      <t xml:space="preserve"> Кабеля SFTP - 400м/п.</t>
    </r>
  </si>
  <si>
    <t>НАВІС НАД ПРК (без оздоблення, одностійковий, фермовий)</t>
  </si>
  <si>
    <t>4.1</t>
  </si>
  <si>
    <t>4.2</t>
  </si>
  <si>
    <t>4.3</t>
  </si>
  <si>
    <t>Заземлення горизонтальне та вертикальне навісу ПРК. 
Під'єднання до контурів операторної та резервуарів палива</t>
  </si>
  <si>
    <t>Допомога у влаштування навісу над ПРК</t>
  </si>
  <si>
    <t>Допомога у монтажі навісу.
Демонтаж/монтаж/ в межах площадки.</t>
  </si>
  <si>
    <t>ІНЖЕНЕРНІ ЗОВНІШНІ ТА МЕРЕЖІ АЗС (крім електрики)</t>
  </si>
  <si>
    <t>5.1</t>
  </si>
  <si>
    <t>5.2</t>
  </si>
  <si>
    <t>5.3</t>
  </si>
  <si>
    <r>
      <rPr>
        <b/>
        <sz val="10"/>
        <rFont val="Verdana"/>
        <family val="2"/>
        <charset val="204"/>
      </rPr>
      <t xml:space="preserve">Каналізація К-2; </t>
    </r>
    <r>
      <rPr>
        <sz val="10"/>
        <rFont val="Verdana"/>
        <family val="2"/>
        <charset val="204"/>
      </rPr>
      <t>з навісу ПРК та операторної, (земляні роботи, ущільнення грунту під трубопроводи та під колодязі,  влаштування піщаної основи, залізобетонні колодязі, прокладання трубопроводів, підмурівка горловин з ФЕМ випробування).   Зовнішня обмазувальна гідроізоляція каналізаційних колодязів бітумною мастикою за два рази. Врізка в мережу, що існує. Випробування мережі на пролив.</t>
    </r>
  </si>
  <si>
    <t>5.4</t>
  </si>
  <si>
    <r>
      <rPr>
        <b/>
        <sz val="10"/>
        <rFont val="Verdana"/>
        <family val="2"/>
        <charset val="204"/>
      </rPr>
      <t>Каналізація К-3</t>
    </r>
    <r>
      <rPr>
        <sz val="10"/>
        <rFont val="Verdana"/>
        <family val="2"/>
        <charset val="204"/>
      </rPr>
      <t xml:space="preserve">  (земляні роботи, ущільнення грунту під трубопроводи та колодязі, піщана основа, залізобетонний колодязь з засувками, колодязь для монтажу сепаратора нафтопродуктів, випробування мереж, монтаж колодязів, монтаж гідрозатворів, розуклонка днищ важким бетоном. Зовнішня обмазувальна гідроізоляція каналізаційних колодязів бітумною мастикою за два рази. Випробування мережі на пролив.</t>
    </r>
  </si>
  <si>
    <t>5.8</t>
  </si>
  <si>
    <t>Влаштування сервісної колонки (земляні роботи, прокладка повітропроводу, влаштування армованого фундаменту, елементів кріплення, встановлення в проектне положення)</t>
  </si>
  <si>
    <r>
      <t xml:space="preserve">повітропровід металопластик Ø20мм -90мп (10атм)
футляр ПВХ Ø50мм -90мп бетон В 15 - 0,35 м3. Каркас арматурний- 5кг. Поребрик - 3м.п., плитка грес - 0,81м2 (врахована в п. </t>
    </r>
    <r>
      <rPr>
        <sz val="10"/>
        <color indexed="10"/>
        <rFont val="Verdana"/>
        <family val="2"/>
        <charset val="204"/>
      </rPr>
      <t xml:space="preserve">10.1.2) </t>
    </r>
    <r>
      <rPr>
        <sz val="10"/>
        <rFont val="Verdana"/>
        <family val="2"/>
        <charset val="204"/>
      </rPr>
      <t xml:space="preserve">Пісок - 5м3. </t>
    </r>
  </si>
  <si>
    <t>7.1</t>
  </si>
  <si>
    <t>Встановлення щогли блискавкозахисту (виготовлення металоконструкцій щогл, земляні роботи, фундамент, монтаж щогл, під'єднання до заземлювачів, фарбування)</t>
  </si>
  <si>
    <t>7.2</t>
  </si>
  <si>
    <t>Мережі заземлення та блискавкозахисту (земляні роботи, прокладання заземлювачів, фарбування стиків) Враховано заземлення опор освітлення, та стели з двома світильниками, іміджевої стели та стрілок в'їзд- виїзд і сервісної колонки та дизель-генератора</t>
  </si>
  <si>
    <t>7.3</t>
  </si>
  <si>
    <t>Проведення комплексу випробувань прокладених електричних мереж, обладнання та мереж заземлення. Отримання технічного звіту по цих роботах. Випробування основного контору з контурами блискавкозахисту та окремо контуру АГЗП.</t>
  </si>
  <si>
    <t xml:space="preserve">Вимірювання та випробування проводить акредитована лабораторія (ліцензія обов'язкова) Окремо газ та окремо операторна з технологією </t>
  </si>
  <si>
    <t>7.4</t>
  </si>
  <si>
    <t>7.5</t>
  </si>
  <si>
    <t>Прокладання кабельної лінії КЛ- 0,4кВ; КЛ-0,22кВ (земляні роботи, прокладання кабелів, приєднання до обладнання, перевірка)</t>
  </si>
  <si>
    <t>7.6</t>
  </si>
  <si>
    <t>Силове електропостачання АЗС ПРК (бензин та ДП) (земляні роботи, футляри, влаштування основи та покриття з піску та трубної розводки ПХВ Ø50мм, випробування, підєднання до обладнання)</t>
  </si>
  <si>
    <t>7.7</t>
  </si>
  <si>
    <t xml:space="preserve">Електромережі зовнішнього освітлення (земляні роботи, прокладання кабелів, приєднання до світильників, перевірка) </t>
  </si>
  <si>
    <t>7.8</t>
  </si>
  <si>
    <t>ОСВІТЛЕННЯ АЗС (земляні роботи, фундаменти, опори з поцинкованого металу Н=9,2м, монтаж світильників (без вартості), зворотня засипка)</t>
  </si>
  <si>
    <t>7.9</t>
  </si>
  <si>
    <t>7.10</t>
  </si>
  <si>
    <t>Контрольні кабелі до ПРК (протягування в футляри ПВХ, футляри, що існують</t>
  </si>
  <si>
    <t>7.11</t>
  </si>
  <si>
    <r>
      <t xml:space="preserve">Підсвітка стелли (монтаж без вартості світильників, кабель врахований в </t>
    </r>
    <r>
      <rPr>
        <sz val="10"/>
        <color indexed="10"/>
        <rFont val="Verdana"/>
        <family val="2"/>
        <charset val="204"/>
      </rPr>
      <t>п. 7.8</t>
    </r>
    <r>
      <rPr>
        <sz val="10"/>
        <rFont val="Verdana"/>
        <family val="2"/>
        <charset val="204"/>
      </rPr>
      <t>)</t>
    </r>
  </si>
  <si>
    <t>Світильники Slight 20 -2шт. Фундаменти -2шт.</t>
  </si>
  <si>
    <t>7.12</t>
  </si>
  <si>
    <t>Загальнобудівельні роботи та монтаж приямків на зелені зоні (земляні роботи, самі приямки, монтаж, підмурування)</t>
  </si>
  <si>
    <r>
      <t>кількість приямків -</t>
    </r>
    <r>
      <rPr>
        <b/>
        <sz val="10"/>
        <rFont val="Verdana"/>
        <family val="2"/>
        <charset val="204"/>
      </rPr>
      <t xml:space="preserve"> 1шт</t>
    </r>
    <r>
      <rPr>
        <sz val="10"/>
        <rFont val="Verdana"/>
        <family val="2"/>
        <charset val="204"/>
      </rPr>
      <t xml:space="preserve">
Бетон 0,24 м3, металевий лист 5 мм 5,2 м2=0,2103 т.</t>
    </r>
  </si>
  <si>
    <t>уточнюється по факту</t>
  </si>
  <si>
    <t>8.2</t>
  </si>
  <si>
    <t>ВИНЕСЕННЯ ТА ЗАХИСТ ІНЖЕНЕРНИХ МЕРЕЖ В ПЛЯМІ ЗАБУДОВИ</t>
  </si>
  <si>
    <t>8.2.1</t>
  </si>
  <si>
    <t>Ручне шурфування фактичного знаходження мереж та відкопування кінців кабелів по 15м (кабелі звязку). Закривається по факту.</t>
  </si>
  <si>
    <t>При необхідності (кількість-45 м.п або 45м3)</t>
  </si>
  <si>
    <t>8.2.2</t>
  </si>
  <si>
    <t>8.2.3</t>
  </si>
  <si>
    <t>Промивка та прочистка дощової  каналізації К-2. Прочистка колодязів -6шт. Прочистка трубопроводів Ø600мм -150м.п.</t>
  </si>
  <si>
    <r>
      <t>Прочиска дощової каналізації Ø600мм спеціалізованою машиною -</t>
    </r>
    <r>
      <rPr>
        <b/>
        <sz val="10"/>
        <rFont val="Verdana"/>
        <family val="2"/>
        <charset val="204"/>
      </rPr>
      <t>150м.п.</t>
    </r>
    <r>
      <rPr>
        <sz val="10"/>
        <rFont val="Verdana"/>
        <family val="2"/>
        <charset val="204"/>
      </rPr>
      <t xml:space="preserve"> Прочистка  дощових колодязів вручну.</t>
    </r>
  </si>
  <si>
    <t>монтаж кабеля міського освітлення, монтаж 2-х опор</t>
  </si>
  <si>
    <r>
      <t xml:space="preserve">монтаж кабеля </t>
    </r>
    <r>
      <rPr>
        <b/>
        <sz val="10"/>
        <rFont val="Verdana"/>
        <family val="2"/>
        <charset val="204"/>
      </rPr>
      <t>-100мп</t>
    </r>
    <r>
      <rPr>
        <sz val="10"/>
        <rFont val="Verdana"/>
        <family val="2"/>
        <charset val="204"/>
      </rPr>
      <t>, монтаж світильників - 2шт
монтаж опор -2шт з утилізацією. Робота автокрана - 4 год., автовишка - 3год.</t>
    </r>
  </si>
  <si>
    <t>Відповідальність Підрядника (уточнюється по факту)</t>
  </si>
  <si>
    <t>ОСНОВНІ РОБОТИ ПО БЛАГОУСТРОЮ</t>
  </si>
  <si>
    <t>9.1</t>
  </si>
  <si>
    <r>
      <t>ЧОРНОВЕ ВЕРТИКАЛЬНЕ ПЛАНУВАННЯ</t>
    </r>
    <r>
      <rPr>
        <b/>
        <sz val="12"/>
        <color indexed="10"/>
        <rFont val="Arial Cyr"/>
        <charset val="204"/>
      </rPr>
      <t/>
    </r>
  </si>
  <si>
    <t>9.1.1</t>
  </si>
  <si>
    <t>Зняття грунту до відмітки дна корита. Зняття, завантаження для перевезення та подальшого складування на будівельному майданчику.</t>
  </si>
  <si>
    <t>9.1.2</t>
  </si>
  <si>
    <t xml:space="preserve">Влаштування насипу з пошаровим трамбуванням території АЗС. Досипка до відмітки дна корита по території АЗС. В розцінку включено перевезення  по будівельному майданчику. Ущільнення та перевезення знятого грунту з - під проїздів по території АЗС.                                                    </t>
  </si>
  <si>
    <t>9.1.3</t>
  </si>
  <si>
    <t>Вертикальне планування чорнове. 
Механізоване планування території перед влаштуванням дорожного пирога.</t>
  </si>
  <si>
    <t>9.1.4</t>
  </si>
  <si>
    <t>Навантаження, вивезення та утилізація сміття</t>
  </si>
  <si>
    <t xml:space="preserve">Завантаження,перевезення та утилізація матеріалу з розбирання та демонтажу </t>
  </si>
  <si>
    <t>9.1.5</t>
  </si>
  <si>
    <t xml:space="preserve">Встановлення контейнера для сміття  </t>
  </si>
  <si>
    <t>за необхідності додаткове встановлення</t>
  </si>
  <si>
    <t>9.1.6</t>
  </si>
  <si>
    <t>Вертикальне планування чорнове (ВИВЕЗЕННЯ ЗАЙВОГО грунту) плече до 15 км.) ЦІНА ДП 48 грн/л. В розцінку включена вартість за утилізацію грунту.</t>
  </si>
  <si>
    <t>9.2</t>
  </si>
  <si>
    <t xml:space="preserve">ЧИСТОВЕ ВЕРТИКАЛЬНЕ ПЛАНУВАННЯ  АЗС </t>
  </si>
  <si>
    <t>9.2.1</t>
  </si>
  <si>
    <t xml:space="preserve">Вертикальне планування чистове (планування площ вручну та механізованим способом, підготовка верхнього шару грунту під декоративне озеленення - 10 см)
*передбачається робота з грунтом в межах будмайданчику з механічним та ручним плануванням. Розрівнювання та планування площ, формування відкосів.   </t>
  </si>
  <si>
    <t>9.2.2</t>
  </si>
  <si>
    <t>Вертикальне планування чистове території майданчика за межами будівництва (механізовано та вручну). Робота виконується при потребі.</t>
  </si>
  <si>
    <t>9.3</t>
  </si>
  <si>
    <t>9.3.1</t>
  </si>
  <si>
    <t>Холодне фрезерування існуючого асфальтобетонного покриття  з перевезенням матеріалу по буд. майданчику (примикання до існуючого дорожнього покриття в зоні перехідно - швидкісних смуг).</t>
  </si>
  <si>
    <t>9.3.2</t>
  </si>
  <si>
    <t>Дорожня основа пісок 15см (підстилаючий шар 150 мм)</t>
  </si>
  <si>
    <t>9.3.3</t>
  </si>
  <si>
    <t>Дорожня основа щебінь 40-70 -21см та 20-40 -12см (підстилаючий шар 330мм)</t>
  </si>
  <si>
    <t>9.3.4</t>
  </si>
  <si>
    <r>
      <t>м</t>
    </r>
    <r>
      <rPr>
        <b/>
        <vertAlign val="superscript"/>
        <sz val="10"/>
        <rFont val="Verdana"/>
        <family val="2"/>
        <charset val="204"/>
      </rPr>
      <t>2</t>
    </r>
  </si>
  <si>
    <t>9.3.5</t>
  </si>
  <si>
    <t>9.4</t>
  </si>
  <si>
    <t>9.4.1</t>
  </si>
  <si>
    <t>9.4.2</t>
  </si>
  <si>
    <t>Дорожня основа щебінь 40-70 -10см та 20-40 -5см (підстилаючий шар 150мм)</t>
  </si>
  <si>
    <t>9.4.3</t>
  </si>
  <si>
    <t xml:space="preserve">Дорожне покриття з ФЕМ (посипка піском 3см+плівка) </t>
  </si>
  <si>
    <t>9.4.4</t>
  </si>
  <si>
    <t xml:space="preserve">Дорожне покриття з ФЕМ (бетонна основа С12/15 -200мм) </t>
  </si>
  <si>
    <t>9.4.5</t>
  </si>
  <si>
    <t>Дорожне покриття з ФЕМ (цементно-піщаний (відсів) шар 4см) 150кг портландцементу на 1м3</t>
  </si>
  <si>
    <t>9.4.6</t>
  </si>
  <si>
    <t>Дорожне покриття з ФЕМ (ВЛАСНЕ ПЛИТКА ФЕМ 8см ГАНТЕЛЬ З ДОСТАВКОЮ)</t>
  </si>
  <si>
    <t>9.4.7</t>
  </si>
  <si>
    <t>Дорожне покриття з ФЕМ (улаштування цементно-піщаний шар +плитка ФЕМ +просипання швів)</t>
  </si>
  <si>
    <t>9.5</t>
  </si>
  <si>
    <t>М2</t>
  </si>
  <si>
    <t>9.5.1</t>
  </si>
  <si>
    <t>9.5.2</t>
  </si>
  <si>
    <t>9.5.3</t>
  </si>
  <si>
    <t>9.5.4</t>
  </si>
  <si>
    <t>Дорожне покриття з Бетону (ВЛАСНЕ ДВІЙНЕ АРМУВАННЯ Д12мм, 200х200мм)</t>
  </si>
  <si>
    <t>9.5.6</t>
  </si>
  <si>
    <t xml:space="preserve">Дорожне покриття з ФЕМ (бетонна основа С12/15 -200 мм) </t>
  </si>
  <si>
    <t>9.5.7</t>
  </si>
  <si>
    <t xml:space="preserve">Дорожне покриття з ФЕМ (цементно-відсів шар 4см) 150кг портландцементу на 1м3 </t>
  </si>
  <si>
    <t>9.5.8</t>
  </si>
  <si>
    <t xml:space="preserve">Дорожне покриття з ФЕМ (ВЛАСНЕ ПЛИТКА ФЕМ 8см ГАНТЕЛЬ З ДОСТАВКОЮ) </t>
  </si>
  <si>
    <t>9.5.9</t>
  </si>
  <si>
    <t>Дорожне покриття з ФЕМ (влаштування  цементно-піщаний шар +плитка ФЕМ + просипання швів)</t>
  </si>
  <si>
    <t>9.6</t>
  </si>
  <si>
    <t>9.6.1</t>
  </si>
  <si>
    <t>Дорожне покриття з ФЕМ (підстилаючий шар пісок -100 мм)</t>
  </si>
  <si>
    <t>9.6.2</t>
  </si>
  <si>
    <t>Основа щебінь 20-40 -120мм</t>
  </si>
  <si>
    <t>9.6.3</t>
  </si>
  <si>
    <t>Дорожне покриття з ФЕМ (цементно-піщаний шар 4см) 150кг портландцементу на 1м3</t>
  </si>
  <si>
    <t>9.6.4</t>
  </si>
  <si>
    <t>Дорожне покриття з ФЕМ (ВЛАСНЕ ПЛИТКА ФЕМ 6см З ДОСТАВКОЮ) -сірого  та червоного кольору</t>
  </si>
  <si>
    <t>9.6.5</t>
  </si>
  <si>
    <t>9.7</t>
  </si>
  <si>
    <t>Бортові камені, поребрики, решітки.</t>
  </si>
  <si>
    <t>9.7.1</t>
  </si>
  <si>
    <t>Влаштування придверних решіток СІТІ (піддон+гумова решітка 40х60см +коврова в зал t=28мм)</t>
  </si>
  <si>
    <t>9.7.2</t>
  </si>
  <si>
    <t>9.7.3</t>
  </si>
  <si>
    <t xml:space="preserve">Поребрики (основа з щебня 0,036м3/мп, встановлення поребриків на бетон, підрізання) </t>
  </si>
  <si>
    <t>9.8</t>
  </si>
  <si>
    <t>ІНШІ РОБОТИ ПО БЛАГОУСТРІЮ ТА МАФ</t>
  </si>
  <si>
    <t>9.8.1</t>
  </si>
  <si>
    <t xml:space="preserve">Встановлення водовідвідних лотків та пісковловлювачів (земляні роботи, щебенева основа, встановлення лотків на бетон, створення додаткових ухилів розчином, встановлення решіток) </t>
  </si>
  <si>
    <r>
      <t xml:space="preserve">Встановлення обрамлення острівків ПРК </t>
    </r>
    <r>
      <rPr>
        <b/>
        <sz val="10"/>
        <rFont val="Verdana"/>
        <family val="2"/>
        <charset val="204"/>
      </rPr>
      <t>(</t>
    </r>
    <r>
      <rPr>
        <sz val="10"/>
        <rFont val="Verdana"/>
        <family val="2"/>
        <charset val="204"/>
      </rPr>
      <t>вартість обрамлень, доставка на об'єкт, встановлення, розварювання профільною трубою, фарбування). Острівки влаштовуються на профільну трубу 20*20 та розкріплюються за допомогою проф труби 20*20 та армаитури.</t>
    </r>
  </si>
  <si>
    <t>9.8.2</t>
  </si>
  <si>
    <t>Монолічення та оздоблення острівків ПРК (заливання острівків бетоном, облицювання керамічною плиткою грес темно-сірого кольору)</t>
  </si>
  <si>
    <t>9.8.3</t>
  </si>
  <si>
    <t>Встановлення огородження території (земляні роботи, фундаменти,  бетонування, вартість огородження формова 3D сітка з панелей з напиленням ПВХ 153*250см, встановлення, фарбування)</t>
  </si>
  <si>
    <t>9.8.4</t>
  </si>
  <si>
    <t>бетон - 1,2м3, Каркаси - 40кг.</t>
  </si>
  <si>
    <t>9.8.5</t>
  </si>
  <si>
    <t>Будівельні роботи під дизель-генератор (основа під фундамент -щебінь - 0,5 м3; фундамент (В15 - 0,7 м3 + армування - сітка арматурна - 30 кг).  (Плита 3м*1,5м*0,15)</t>
  </si>
  <si>
    <t>Залізобетонна плита - 0,7 м3     Футляр ПВХ 50мм - 2м.п.</t>
  </si>
  <si>
    <t>9.8.6</t>
  </si>
  <si>
    <t>Фундамент під рекламний пілон 16м.п.  (земляні роботи, фундаменти, закладні деталі та анкери-105кг) Футляр ПВХ50мм -2мп</t>
  </si>
  <si>
    <r>
      <t xml:space="preserve">Бетон В15 - </t>
    </r>
    <r>
      <rPr>
        <b/>
        <sz val="10"/>
        <rFont val="Verdana"/>
        <family val="2"/>
        <charset val="204"/>
      </rPr>
      <t>7,8 м3,</t>
    </r>
    <r>
      <rPr>
        <sz val="10"/>
        <rFont val="Verdana"/>
        <family val="2"/>
        <charset val="204"/>
      </rPr>
      <t xml:space="preserve">                Щебінь -1,1м3. Анкера з гайками та каркаси - 283 кг.  </t>
    </r>
  </si>
  <si>
    <t>9.8.7</t>
  </si>
  <si>
    <t>Фундамент під рекламно-ціновий пілон (земляні роботи, фундаменти-2шт, закладні деталі та анкери-85кг) Футляр ПВХ50мм - 4м.п.</t>
  </si>
  <si>
    <t>9.9</t>
  </si>
  <si>
    <t>ГАЗОННИЙ ТА ЛАНШАФТНИЙ БЛАГОУСТРІЙ(ПОГОД.МАРКЕТИНГУ)</t>
  </si>
  <si>
    <t>9.9.1</t>
  </si>
  <si>
    <t>Влаштування родючого грунту та посів трави.
Полив. Покіс - 1раз.</t>
  </si>
  <si>
    <t>10</t>
  </si>
  <si>
    <t>РОБОТИ І ОБЛАДНАННЯ НЕОБХІДНЕ ДЛЯ АЗС</t>
  </si>
  <si>
    <t>10.1</t>
  </si>
  <si>
    <t>РОБОТИ ТА ОБЛАДНАННЯ  АЗС З ДЕТАЛЬНИМИ ОКРЕМИМИ ПІДРАХУНКАМИ</t>
  </si>
  <si>
    <t>10.1.1</t>
  </si>
  <si>
    <t>Допомога фірмі по зовнішньому оздобленні АЗС</t>
  </si>
  <si>
    <t xml:space="preserve">окремий додаток з об"ємами при  </t>
  </si>
  <si>
    <t>комп</t>
  </si>
  <si>
    <t>10.1.2</t>
  </si>
  <si>
    <t>ВСЯ  КЕРАМІКА та САНТЕХНІКА ДЛЯ ВНУТРІШНЬОГО ОЗДОБЛЕННЯ
(після кінцевого погодження внутрішнього дизайну відділом маркетигу замовника)</t>
  </si>
  <si>
    <t>окремий додаток(ЛИСТ САНТЕХНІКА) з об"ємами закупівель додається</t>
  </si>
  <si>
    <t>10.1.3</t>
  </si>
  <si>
    <t>ВСІ СВІТИЛЬНИКИ СВІТОДІОДНІ (ДЛЯ АЗС) ТА  ДЛЯ ВНУТРІШНЬОГО ОЗДОБЛЕННЯ</t>
  </si>
  <si>
    <t>окремий додаток(ЛИСТ СВІТОДІОДИ) з об"ємами закупівель додається
.</t>
  </si>
  <si>
    <t>10.1.4</t>
  </si>
  <si>
    <t>10.1.5</t>
  </si>
  <si>
    <t>10.1.6</t>
  </si>
  <si>
    <t>Сепаратор нафтопродуктів"ОАЗИС-oil-СН-Ц-4/20-Ц" з байпасом</t>
  </si>
  <si>
    <t>"ОАЗИС-oil-СН-Ц-4/20-Ц"
власне обладнання з доставкою.</t>
  </si>
  <si>
    <t>10.1.7</t>
  </si>
  <si>
    <t>10.1.8</t>
  </si>
  <si>
    <t>Отримання дозволів (збір документів) для, виклик служб (земляні, зовнішні мережі, ордера на виконання), ОДР на період будівництва</t>
  </si>
  <si>
    <t>Оцінюються ризики та матеріальні видатки</t>
  </si>
  <si>
    <t>Дорожні знаки , розмітка. Монтаж доржніх знаків (2-ий типорозмір та 1-ий типорозмір із світловідбиваючою плівкою та із  подвійним загином по периметру, знак з поцинкованої сталі товщиною 1,0-1,5мм, зворотня сторона знаку покривається антикорозійною фарбою сірого кольору RAL 7042 (напилення цинку min 275 г/м2)), монтаж стійок оцинкованих, нанесенння дорожньої розмітки, відрядні, проживання, транспорт</t>
  </si>
  <si>
    <t xml:space="preserve">Розмітка:
білого кольору - 74,63м2
Чорного кольору - 20 м2 
К-ть знаків -21 шт, 
к-ть стійок - 20шт. ,таблички - 2 шт.     </t>
  </si>
  <si>
    <t>Ведення будівництва  (в тому числі і взаємовідносини з місцевими контролюючими органами для забезпечення безперервності робіт)</t>
  </si>
  <si>
    <t>ЗДАЧА ОБЄКТУ В ЕКСПЛУАТАЦІЮ (обміри+виконавча ділянки+ висновки+участь в комісіях+ документи на сертифікат.</t>
  </si>
  <si>
    <t>звірка</t>
  </si>
  <si>
    <t>Курси валют</t>
  </si>
  <si>
    <t>ЦІНИ КОНСТАНТИ З ПДВ</t>
  </si>
  <si>
    <t>ВСЬОГО</t>
  </si>
  <si>
    <t>ТРАНСПОРТ</t>
  </si>
  <si>
    <t>САМ</t>
  </si>
  <si>
    <t>об'єм</t>
  </si>
  <si>
    <t>Евро</t>
  </si>
  <si>
    <t>М3</t>
  </si>
  <si>
    <t>ЩЕБІНЬ20-40</t>
  </si>
  <si>
    <t>ЧАО Запорожское карьероуправление</t>
  </si>
  <si>
    <t>1,38т/м3</t>
  </si>
  <si>
    <t>Долар</t>
  </si>
  <si>
    <t>ЩЕБІНЬ5-20</t>
  </si>
  <si>
    <t>1,35т/м3</t>
  </si>
  <si>
    <t>Рубль</t>
  </si>
  <si>
    <t>шлак</t>
  </si>
  <si>
    <t>(061) 223 75 89</t>
  </si>
  <si>
    <t>1,2т/м3</t>
  </si>
  <si>
    <t>ВІДСІВ(сіяний)</t>
  </si>
  <si>
    <t>1,42т/м3</t>
  </si>
  <si>
    <t>СУПІСЬ МІСЦЕВА</t>
  </si>
  <si>
    <t>Бетон Градоліт</t>
  </si>
  <si>
    <t>БЕТОН М100</t>
  </si>
  <si>
    <t>Запорожбетонсервіс</t>
  </si>
  <si>
    <t>БЕТОН М200</t>
  </si>
  <si>
    <t>БЕТОН М250</t>
  </si>
  <si>
    <t>БЕТОН М300</t>
  </si>
  <si>
    <t>ПІСОК(БУДІВЕЛЬНИЙ)</t>
  </si>
  <si>
    <t>Річпорт</t>
  </si>
  <si>
    <t>ТОНА</t>
  </si>
  <si>
    <t>арматура А3(ВІД 8 ДО 16)</t>
  </si>
  <si>
    <t>ЦЕМЕНТ МАРКА 400(М)</t>
  </si>
  <si>
    <t>КГ</t>
  </si>
  <si>
    <t>ЗАКЛАДНІ ДЕТАЛІ</t>
  </si>
  <si>
    <t>К-ть залізобет</t>
  </si>
  <si>
    <t>Сума</t>
  </si>
  <si>
    <t>ФЛ10.24-2</t>
  </si>
  <si>
    <t>м3.</t>
  </si>
  <si>
    <t>Завод Універсал 0563757810</t>
  </si>
  <si>
    <t xml:space="preserve">ФЛ10.12-2 </t>
  </si>
  <si>
    <t xml:space="preserve">ФЛ10.8-2 </t>
  </si>
  <si>
    <t xml:space="preserve">ФЛ8.24-2 </t>
  </si>
  <si>
    <t xml:space="preserve">ФЛ8.12-2 </t>
  </si>
  <si>
    <t xml:space="preserve">ФБС24.4.6 </t>
  </si>
  <si>
    <t xml:space="preserve">ФБС12.4.6 </t>
  </si>
  <si>
    <t xml:space="preserve">ФБС9.4.6 </t>
  </si>
  <si>
    <t xml:space="preserve">ФБС12.4.3 </t>
  </si>
  <si>
    <t xml:space="preserve">ФБС24.3.6  </t>
  </si>
  <si>
    <t xml:space="preserve">ФБС9.3.6 </t>
  </si>
  <si>
    <t>з.б. плита П90. 15-8А IIIвТ</t>
  </si>
  <si>
    <t>з.б. плита П90. 12-8А IIIвТ</t>
  </si>
  <si>
    <t>З/Б колодязі</t>
  </si>
  <si>
    <t>1м</t>
  </si>
  <si>
    <t>1,5м</t>
  </si>
  <si>
    <t>2м</t>
  </si>
  <si>
    <t xml:space="preserve">2ПБ13-1п </t>
  </si>
  <si>
    <t>кришка</t>
  </si>
  <si>
    <t xml:space="preserve">2ПБ16-2п </t>
  </si>
  <si>
    <t xml:space="preserve">днище </t>
  </si>
  <si>
    <t xml:space="preserve">2ПБ19-3п </t>
  </si>
  <si>
    <t>кільце</t>
  </si>
  <si>
    <t>3ПБ21-6п</t>
  </si>
  <si>
    <t xml:space="preserve">5ПГ26-40  </t>
  </si>
  <si>
    <t xml:space="preserve">3ПБ34-4п </t>
  </si>
  <si>
    <t>2ПБ22-3п</t>
  </si>
  <si>
    <t>Мін вата izovat 160кг/м3-60 мм</t>
  </si>
  <si>
    <t>Мін вата izovat 135кг/м3-200 мм</t>
  </si>
  <si>
    <t>20 л</t>
  </si>
  <si>
    <t>Праймер</t>
  </si>
  <si>
    <t>1м2</t>
  </si>
  <si>
    <t>Хеластоплей В нижній</t>
  </si>
  <si>
    <t>Хеластоплей П верхній</t>
  </si>
  <si>
    <t>Ютафол</t>
  </si>
  <si>
    <t>мембрана ПВХ (євро)</t>
  </si>
  <si>
    <t>Додаток №1 до п. 10.1.2. (кераміка та сантехніка для внутрішнього оздоблення)</t>
  </si>
  <si>
    <t>№ п.п.</t>
  </si>
  <si>
    <t>Назва матеріалу чи обладнання</t>
  </si>
  <si>
    <t>Кількість шт. або м2</t>
  </si>
  <si>
    <t>Ціна з ПДВ, грн</t>
  </si>
  <si>
    <t>Вартість, грн</t>
  </si>
  <si>
    <t xml:space="preserve">Приміщення </t>
  </si>
  <si>
    <t>https://leoceramika.com/</t>
  </si>
  <si>
    <t>Магазин</t>
  </si>
  <si>
    <t>Плитка підлогова Сетім Хані  600*175*8 код 5212 Церрад Польща</t>
  </si>
  <si>
    <t>Панель підлогова  VFUC-8714 дуб  невада 8 мм, 32 кл Krono Orig,Польща</t>
  </si>
  <si>
    <t>Клей Sopro FF 455  25 кг</t>
  </si>
  <si>
    <t>Затирка Sopro DF 10  1068  Карамель 5 кг</t>
  </si>
  <si>
    <t>Жовта скляна моно мат 30*30 (4 мм) Кераміка</t>
  </si>
  <si>
    <t>Санвузли для відвідувачів</t>
  </si>
  <si>
    <t>Умивальники + унітази</t>
  </si>
  <si>
    <t xml:space="preserve">111.300.00.5 Duofix Інсталяція д/підв. Унітазу 
 </t>
  </si>
  <si>
    <t>111.835.00.1 Duofix Кріплення до стіни, універсальне
Інсталяції інше</t>
  </si>
  <si>
    <t>115.890.SN.5 Sigma10 HyTronic змив до  унітазу, 230V
Клавіша</t>
  </si>
  <si>
    <t>115.861.00.1 HyTronic Монтажна група для блока
Інсталяції інше</t>
  </si>
  <si>
    <t>116.145.21.1 HyTronic 185 змішувач безконтактний
Змішувач для раковини</t>
  </si>
  <si>
    <t>M38155000 NOVA PRO Умивальник 55см   для людей з обмеженим  и фізичними можливо стями, з переливом Раковина</t>
  </si>
  <si>
    <t>152.170.16.1 Труба d45м м   до вж. 1м Інсталяції інше</t>
  </si>
  <si>
    <t>366681 Сифон  д/раковини, хром Сифон  для раковини</t>
  </si>
  <si>
    <t>156.050.00.1 Звукоізолююча прокладка Інсталяції інше</t>
  </si>
  <si>
    <t>M39018000 NOVA PRO підвісний унітаз Rimfree  з кришкою soft-close (1уп ) Унітаз</t>
  </si>
  <si>
    <t>Плитка для підлоги Батіста Стіл рект. 597х597х8,5 код 0345 Cerrad Польща</t>
  </si>
  <si>
    <t>Плитка підл. Батіста Стіл рект. 1197х597х10 код 0765 Церрад, Польща</t>
  </si>
  <si>
    <t>Плитка Golden Tile біла моно 20x30</t>
  </si>
  <si>
    <t>27030СН AURORA  Гачок, хром гачок</t>
  </si>
  <si>
    <t>DJ0112CS Дозатор рідкого мила 1.1 л, горизонт сатиновий нерж.сталь</t>
  </si>
  <si>
    <t>PR2783C S Tpимач туалетного паперу д.230мм сатиновий, нерж сталь</t>
  </si>
  <si>
    <t>D 222S Тримач накладок саніт.1/2S-LINE сатиновий, нерж.сталь</t>
  </si>
  <si>
    <t>Смітник 16л</t>
  </si>
  <si>
    <t xml:space="preserve">A65800 Щітка туалетна настінна, хромова,пластик
</t>
  </si>
  <si>
    <t>Перегородки  туалетні з ДСП біла 25 мм,алюм.профіль,замок ABLOY</t>
  </si>
  <si>
    <t>Поручні з н/ж сталі AISI304 длялюдей з особливими потребами</t>
  </si>
  <si>
    <t>Рукомийник (столешня) з двома мийками 1720*560*180мм</t>
  </si>
  <si>
    <t>Дзеркало 4 мм, з сріб.покр.з прир.прям 1,6*1</t>
  </si>
  <si>
    <t>Дзеркало 4 мм, з сріб.покр.з прир.прям 0,5*1</t>
  </si>
  <si>
    <t>Шліф. З пол кром.толщ.3-4-5 мм до 50 м.п. Пр</t>
  </si>
  <si>
    <t>Допоміжні приміщення</t>
  </si>
  <si>
    <t>Плитка Атем Грес 0100 Pimento 30x30</t>
  </si>
  <si>
    <t>Монолічення та оздоблення острівків</t>
  </si>
  <si>
    <t>Керамограніт Pimento 0601K - темно-сірий</t>
  </si>
  <si>
    <t>Оздоблення надземної частини цоколя</t>
  </si>
  <si>
    <t>Керамограніт Pimento 0601 - темно-сірий</t>
  </si>
  <si>
    <t>L71150000 FREJA Умивальник 50 см   з центральним   отвором   (білий) раковина</t>
  </si>
  <si>
    <t>103927 (573966) Сифон  д/раковини Сифон  для раковини</t>
  </si>
  <si>
    <t>71060000 Novus Змішувач д/душа Змішувач для душу</t>
  </si>
  <si>
    <t>71100000 Logis 100 Змішувач д/раковини Змішувач для раковини</t>
  </si>
  <si>
    <t>26533400 Crometta 1jet/Unica’ Croma Душовий набір Душовий набір</t>
  </si>
  <si>
    <t xml:space="preserve">A56301 Дозатор piдкoro 1.1 n,
Білий/прозорий, пластик
</t>
  </si>
  <si>
    <t>A59001 Tpимач туалетного паперу в рулоні,білий,пластик</t>
  </si>
  <si>
    <t>A66201 Tpимач накладок санітарних Міні, білий,пластик</t>
  </si>
  <si>
    <t>7255 Гачок подвійний, цинковий сплав, хромовий</t>
  </si>
  <si>
    <t>M-814W Урна з педаллю кругла 14 л біла/сіра, пластик</t>
  </si>
  <si>
    <t>A65401 Щітка туалетна підлогова Pavimento, біла,пластик</t>
  </si>
  <si>
    <t>Доставка товару</t>
  </si>
  <si>
    <t xml:space="preserve">Всього по пункту до п. 10.1.2. (кераміка та сантехніка для внутрішнього оздоблення) грн. з ПДВ : </t>
  </si>
  <si>
    <t>Замовник :</t>
  </si>
  <si>
    <t>Підрядник :</t>
  </si>
  <si>
    <t xml:space="preserve">____________ </t>
  </si>
  <si>
    <t>М.П.</t>
  </si>
  <si>
    <t>Назва обладнання</t>
  </si>
  <si>
    <t>Од. вим.</t>
  </si>
  <si>
    <t>Інші витрати</t>
  </si>
  <si>
    <t>Транспортні витрати</t>
  </si>
  <si>
    <t>Загальна вартість, грн з ПДВ</t>
  </si>
  <si>
    <t>Загальна вартість, грн. з ПДВ</t>
  </si>
  <si>
    <t>Опалення</t>
  </si>
  <si>
    <t>Кондиціювання</t>
  </si>
  <si>
    <t>днів</t>
  </si>
  <si>
    <t>Додаток №2 до п. 10.1.3 (світильники світлодіодні)</t>
  </si>
  <si>
    <t>Світильник світлодіодний LCL MAXUS 24W, 4100K (квадрат)</t>
  </si>
  <si>
    <t>Світильник світлодіодний LCL MAXUS 18W, 4100K (квадрат)</t>
  </si>
  <si>
    <t>Панель світлодіодна LED Panel 600x600 36W 4000K 220V WT</t>
  </si>
  <si>
    <t>Світильник світлодіодний LED Line 2.36 AL 1200mm 5000K M</t>
  </si>
  <si>
    <t>Світильник світлодіодний HPL12W 5000K C</t>
  </si>
  <si>
    <t>Світильник Novodvorski Pavione White-GOLD 6436 9405.10.98.90</t>
  </si>
  <si>
    <t>LED лампа MAXUS 10W E27 3000K 220V</t>
  </si>
  <si>
    <t>Світильник стельовий сір.Poland 2*40W</t>
  </si>
  <si>
    <t>Світильник стельовий сір.Poland 40W</t>
  </si>
  <si>
    <t>Акумуляторний світильник EL115 30LED DC (205*65*30мм)</t>
  </si>
  <si>
    <t>Світильники вуличного освітлення на опорах</t>
  </si>
  <si>
    <t>Світильник світлодіодний COMBEE STREET LED 100W 5000K VB</t>
  </si>
  <si>
    <t xml:space="preserve">Всього по пункту до п. 10.1.3 (світильники світлодіодні) грн. з ПДВ : </t>
  </si>
  <si>
    <t>____________</t>
  </si>
  <si>
    <t>№</t>
  </si>
  <si>
    <t>Наименование</t>
  </si>
  <si>
    <t>Ед.</t>
  </si>
  <si>
    <t>Количество</t>
  </si>
  <si>
    <t>Цена без НДС</t>
  </si>
  <si>
    <t>Сумма без НДС</t>
  </si>
  <si>
    <t>Стенд пожарный закрытого типа не укомплектованный СПЗ</t>
  </si>
  <si>
    <t>Багор пожарный (для щита)</t>
  </si>
  <si>
    <t>Лом пожарный (для щита)</t>
  </si>
  <si>
    <t>Ведро пожарное (конусное для щита)</t>
  </si>
  <si>
    <t>Лопата пожарная (для щита)</t>
  </si>
  <si>
    <t>Топор пожарный (для щита)</t>
  </si>
  <si>
    <t>Кошма</t>
  </si>
  <si>
    <t>Вогнегасник ОУ-3 (ВВК-2)</t>
  </si>
  <si>
    <t>Вогнегасник ВВК-5(ОУ-7)</t>
  </si>
  <si>
    <t>Вогнегасник ВП-5 (з)</t>
  </si>
  <si>
    <t>Вогнегасник ВП-45 (ОП-50)</t>
  </si>
  <si>
    <t xml:space="preserve">Скидка: </t>
  </si>
  <si>
    <t xml:space="preserve">Итого без НДС: </t>
  </si>
  <si>
    <t xml:space="preserve">НДС: </t>
  </si>
  <si>
    <t xml:space="preserve">Всего с НДС: </t>
  </si>
  <si>
    <t>Розмір</t>
  </si>
  <si>
    <t>К-сть</t>
  </si>
  <si>
    <t>Ціна за одиницю, грн. з ПДВ</t>
  </si>
  <si>
    <t>Вартість, грн. з ПДВ</t>
  </si>
  <si>
    <t>МАТЕРІАЛИ:</t>
  </si>
  <si>
    <t xml:space="preserve">Знаки дорожні  із кріпленням </t>
  </si>
  <si>
    <t>2.1 "Дати дорогу"</t>
  </si>
  <si>
    <t>1-й типорозмір</t>
  </si>
  <si>
    <t>3.31-32</t>
  </si>
  <si>
    <t>3.21 "Вїзд заборонено"</t>
  </si>
  <si>
    <t xml:space="preserve"> 4.9 "Обїзд перешкоди з правого та лівого боку"</t>
  </si>
  <si>
    <t>5.21.1</t>
  </si>
  <si>
    <t>5.35.1 "Пішохідний перехід" 600х600</t>
  </si>
  <si>
    <t>1.9</t>
  </si>
  <si>
    <t>5.35.2 "Пішохідний перехід 600х600</t>
  </si>
  <si>
    <t>5.38.1</t>
  </si>
  <si>
    <t>6.7.3 "Автозаправна станція" 600х900 мм.</t>
  </si>
  <si>
    <t>ТВР 350х700</t>
  </si>
  <si>
    <t>7.1.1</t>
  </si>
  <si>
    <t>7.17</t>
  </si>
  <si>
    <t>2-й типорозмір</t>
  </si>
  <si>
    <t>Будівельно-монтажні роботи:</t>
  </si>
  <si>
    <t>Монтаж дорожніх знаків на стійку</t>
  </si>
  <si>
    <t>стійок</t>
  </si>
  <si>
    <t>Монтаж дорожнього знаку на існуючу опору</t>
  </si>
  <si>
    <t xml:space="preserve">Монтаж металевого перильного огородження </t>
  </si>
  <si>
    <t>2.5</t>
  </si>
  <si>
    <t xml:space="preserve">Розмітка чорною фарбою </t>
  </si>
  <si>
    <t>км</t>
  </si>
  <si>
    <t>Форма загину повинна давати можливість приєднувати універсальні поцинковані кріплення з допомогою болтів min М8.</t>
  </si>
  <si>
    <t>3) Зворотня сторона знаку покривається антикорозійною фарбою сірого кольору RAL 7042 (коефіцієнт люмінесценції 0,08-0,10).</t>
  </si>
  <si>
    <t>Товщина порошкового напилення 0,06 мм.</t>
  </si>
  <si>
    <t>Технологія забезпечує еластичність покриття фарби при згинанні на 180° основи знаку шириною 6 мм.</t>
  </si>
  <si>
    <t xml:space="preserve">4)Лицева частина знаків  виготовляється з плівок 3М призматичних інженерного типу серія 3400. </t>
  </si>
  <si>
    <t>Фотометричні та кольорометричні характеристики світлоповертаючої плівки повинні відповідають вимогам ДСТУ 4100-2002.</t>
  </si>
  <si>
    <t>Графічні символи (піктограми) виконуються методом шовкографії з використанням транспарентних фарб або вирізаються з іншої плівки і наклеюються на основну фонову плівку.</t>
  </si>
  <si>
    <t>Плівка повністю повинна прилягати до основи, щоб неможливо було її відірвати без пошкодження, а також відклеїти при згинанні на 90° основи шириною 10 мм.</t>
  </si>
  <si>
    <t>Поверхня плівки гладка, без пухирців та нерівностей. Плівки повинні мати підвищені показники світлоповертання, підвищену стійкість до механічних пошкоджень та гарантійний термін відповідно 10 та 12 років.</t>
  </si>
  <si>
    <t xml:space="preserve">5) Конструкція кріплення повинна забезпечувати монтаж знаку на стійки діаметром від 40 мм до 110 мм, унеможливлювати його пересування чи поворот, </t>
  </si>
  <si>
    <t>дозволяти легко демонтувати знак на протязі всього терміну експлуатації.</t>
  </si>
  <si>
    <t>Кріплення повинно виготовлятись з поцинкованої сталі товщиною min 3 мм (товщина напилення 0,08 мм).</t>
  </si>
  <si>
    <t>Для з’єднання кріплень з металевою основою та стійкою повинні застосовуватись поцинковані болти, гайки, шайби min М8, а також елементи запобігання крадіжкам.</t>
  </si>
  <si>
    <t>6) Фарба для розмітки "Польрефлекс" ТОВ "Поліфарб" (або кращу за якістю).</t>
  </si>
  <si>
    <t>7) Стійки знаків повинні бути оцинковані.</t>
  </si>
  <si>
    <t>8) Усі учасники тендеру повинні мати ліцензію на виконання вищеперерахованих робіт</t>
  </si>
  <si>
    <t xml:space="preserve">Всього по пункту до п. 10.1.14 (знаки дорожні та розмітка) грн. з ПДВ : </t>
  </si>
  <si>
    <t>Реконструкція АЗС з влаштуваннчм АГЗП за адресою вулиця Підградська, 29, місто Ужгород, Закарпатської  області.</t>
  </si>
  <si>
    <t xml:space="preserve">до договору генерального підряду № </t>
  </si>
  <si>
    <r>
      <t>Колір жолобу та труб - RAL 7024       довжина жолобу -</t>
    </r>
    <r>
      <rPr>
        <b/>
        <sz val="10"/>
        <color indexed="8"/>
        <rFont val="Verdana"/>
        <family val="2"/>
        <charset val="204"/>
      </rPr>
      <t xml:space="preserve"> 14мп.</t>
    </r>
    <r>
      <rPr>
        <sz val="10"/>
        <color rgb="FF000000"/>
        <rFont val="Verdana"/>
        <family val="2"/>
        <charset val="204"/>
      </rPr>
      <t xml:space="preserve"> два</t>
    </r>
    <r>
      <rPr>
        <sz val="10"/>
        <color indexed="8"/>
        <rFont val="Verdana"/>
        <family val="2"/>
        <charset val="204"/>
      </rPr>
      <t xml:space="preserve"> опуски по </t>
    </r>
    <r>
      <rPr>
        <b/>
        <sz val="10"/>
        <color indexed="8"/>
        <rFont val="Verdana"/>
        <family val="2"/>
        <charset val="204"/>
      </rPr>
      <t>4,5мп</t>
    </r>
    <r>
      <rPr>
        <sz val="10"/>
        <color indexed="8"/>
        <rFont val="Verdana"/>
        <family val="2"/>
        <charset val="204"/>
      </rPr>
      <t xml:space="preserve">. Враховано фанеру 8мм з пофарбуванням - </t>
    </r>
    <r>
      <rPr>
        <b/>
        <sz val="10"/>
        <color rgb="FF000000"/>
        <rFont val="Verdana"/>
        <family val="2"/>
        <charset val="204"/>
      </rPr>
      <t>2,</t>
    </r>
    <r>
      <rPr>
        <b/>
        <sz val="10"/>
        <color indexed="8"/>
        <rFont val="Verdana"/>
        <family val="2"/>
        <charset val="204"/>
      </rPr>
      <t>8м2</t>
    </r>
    <r>
      <rPr>
        <sz val="10"/>
        <color indexed="8"/>
        <rFont val="Verdana"/>
        <family val="2"/>
        <charset val="204"/>
      </rPr>
      <t xml:space="preserve"> та всі кріпильні матеріали. Влаштування карнизної планки, крапельника з вальцюванням. 
Приямки пластикові -2шт (h=0,6м) з чавунними решітками</t>
    </r>
  </si>
  <si>
    <r>
      <t xml:space="preserve">Влаштування зовнішнього пластикового жолобу оператоної з </t>
    </r>
    <r>
      <rPr>
        <sz val="10"/>
        <color indexed="8"/>
        <rFont val="Verdana"/>
        <family val="2"/>
        <charset val="204"/>
      </rPr>
      <t xml:space="preserve">опусками труби ПВХ д=100мм та відводами 45град в приямки h=0,6м з чавунними решітками  </t>
    </r>
  </si>
  <si>
    <r>
      <t>Площа покрівлі -</t>
    </r>
    <r>
      <rPr>
        <b/>
        <sz val="10"/>
        <rFont val="Verdana"/>
        <family val="2"/>
        <charset val="204"/>
      </rPr>
      <t>138</t>
    </r>
    <r>
      <rPr>
        <b/>
        <sz val="10"/>
        <color indexed="8"/>
        <rFont val="Verdana"/>
        <family val="2"/>
        <charset val="204"/>
      </rPr>
      <t xml:space="preserve">м2 </t>
    </r>
    <r>
      <rPr>
        <sz val="10"/>
        <color indexed="8"/>
        <rFont val="Verdana"/>
        <family val="2"/>
        <charset val="204"/>
      </rPr>
      <t>(включено всі кріпильні елементи та прокладки з герметизацією швів з середини приміщення поліуритановим герметиком між парапетом та панеллю) Відхід панелей врахований в матеріальній складовій.</t>
    </r>
  </si>
  <si>
    <r>
      <t>балки, колони, прогони, закладні Блн-2, Клн-1, Плн-1÷Плн-3, розтяжки
Маса загальна - 1,72т.
Всього маса з врах. напл. металу, відходів -</t>
    </r>
    <r>
      <rPr>
        <b/>
        <sz val="10"/>
        <rFont val="Verdana"/>
        <family val="2"/>
        <charset val="204"/>
      </rPr>
      <t>1,79т.</t>
    </r>
  </si>
  <si>
    <r>
      <t>Колони: К-1÷К-7; Кф-1÷Кф-5; Ст-1 (грунтування, фарбування RAL 7024)
Маса загальна -</t>
    </r>
    <r>
      <rPr>
        <b/>
        <sz val="10"/>
        <rFont val="Verdana"/>
        <family val="2"/>
        <charset val="204"/>
      </rPr>
      <t>1,98т</t>
    </r>
    <r>
      <rPr>
        <sz val="10"/>
        <rFont val="Verdana"/>
        <family val="2"/>
        <charset val="204"/>
      </rPr>
      <t xml:space="preserve">;
Всього маса з врах. напл. металу, відходів та уточнення маси - </t>
    </r>
    <r>
      <rPr>
        <b/>
        <sz val="10"/>
        <rFont val="Verdana"/>
        <family val="2"/>
        <charset val="204"/>
      </rPr>
      <t>2,06т</t>
    </r>
  </si>
  <si>
    <r>
      <t>Ферми, прогони, зв'язки, закладні +драбина: Ф-1, Б-1÷Б4, Блн-1, Пр-1, Рп-1, Рс-1, Рс-2 Вз-1, Вз-2, Гз1, Гз-2, окремі деталі (грунтування, фарбування RAL 7024)
Маса загальна -</t>
    </r>
    <r>
      <rPr>
        <b/>
        <sz val="10"/>
        <rFont val="Verdana"/>
        <family val="2"/>
        <charset val="204"/>
      </rPr>
      <t>5,64</t>
    </r>
    <r>
      <rPr>
        <sz val="10"/>
        <rFont val="Verdana"/>
        <family val="2"/>
        <charset val="204"/>
      </rPr>
      <t xml:space="preserve">т
Всього маса з врах. напл. металу, відходів та уточнення маси - </t>
    </r>
    <r>
      <rPr>
        <b/>
        <sz val="10"/>
        <rFont val="Verdana"/>
        <family val="2"/>
        <charset val="204"/>
      </rPr>
      <t>5,87т</t>
    </r>
  </si>
  <si>
    <r>
      <rPr>
        <b/>
        <sz val="10"/>
        <color indexed="10"/>
        <rFont val="Verdana"/>
        <family val="2"/>
        <charset val="204"/>
      </rPr>
      <t>1</t>
    </r>
    <r>
      <rPr>
        <sz val="10"/>
        <rFont val="Verdana"/>
        <family val="2"/>
        <charset val="204"/>
      </rPr>
      <t xml:space="preserve">.Вн. обшивка зовн. стін в 2 шари вологостійких (включно з відкосом над вітражами та колонами залу) - </t>
    </r>
    <r>
      <rPr>
        <b/>
        <sz val="10"/>
        <rFont val="Verdana"/>
        <family val="2"/>
        <charset val="204"/>
      </rPr>
      <t xml:space="preserve">184м2 </t>
    </r>
    <r>
      <rPr>
        <sz val="10"/>
        <rFont val="Verdana"/>
        <family val="2"/>
        <charset val="204"/>
      </rPr>
      <t xml:space="preserve">(каркас 203м2)
</t>
    </r>
    <r>
      <rPr>
        <b/>
        <sz val="10"/>
        <color indexed="10"/>
        <rFont val="Verdana"/>
        <family val="2"/>
        <charset val="204"/>
      </rPr>
      <t>2.</t>
    </r>
    <r>
      <rPr>
        <sz val="10"/>
        <color indexed="10"/>
        <rFont val="Verdana"/>
        <family val="2"/>
        <charset val="204"/>
      </rPr>
      <t xml:space="preserve"> </t>
    </r>
    <r>
      <rPr>
        <sz val="10"/>
        <rFont val="Verdana"/>
        <family val="2"/>
        <charset val="204"/>
      </rPr>
      <t xml:space="preserve">перегородки гіпсокартонні:
вологостійкі в 4 шари на перегородку - </t>
    </r>
    <r>
      <rPr>
        <b/>
        <sz val="10"/>
        <rFont val="Verdana"/>
        <family val="2"/>
        <charset val="204"/>
      </rPr>
      <t>90м2</t>
    </r>
    <r>
      <rPr>
        <sz val="10"/>
        <rFont val="Verdana"/>
        <family val="2"/>
        <charset val="204"/>
      </rPr>
      <t xml:space="preserve"> (каркас 109м2)
</t>
    </r>
    <r>
      <rPr>
        <b/>
        <sz val="10"/>
        <color indexed="10"/>
        <rFont val="Verdana"/>
        <family val="2"/>
        <charset val="204"/>
      </rPr>
      <t>3.</t>
    </r>
    <r>
      <rPr>
        <sz val="10"/>
        <rFont val="Verdana"/>
        <family val="2"/>
        <charset val="204"/>
      </rPr>
      <t xml:space="preserve"> перегородки протипожежні 4 шари на перегородку- </t>
    </r>
    <r>
      <rPr>
        <b/>
        <sz val="10"/>
        <rFont val="Verdana"/>
        <family val="2"/>
        <charset val="204"/>
      </rPr>
      <t>25м2</t>
    </r>
    <r>
      <rPr>
        <sz val="10"/>
        <rFont val="Verdana"/>
        <family val="2"/>
        <charset val="204"/>
      </rPr>
      <t xml:space="preserve"> (каркас 25м2)
</t>
    </r>
    <r>
      <rPr>
        <b/>
        <sz val="10"/>
        <rFont val="Verdana"/>
        <family val="2"/>
        <charset val="204"/>
      </rPr>
      <t>Всі внутрішні перегородки виконані з шумоізоляцією мін. ватою товщиною 50мм.</t>
    </r>
  </si>
  <si>
    <t>Випроб. точок ущільнення -4шт.</t>
  </si>
  <si>
    <t>Бетон С8/10 -3,0+0,5 м3</t>
  </si>
  <si>
    <t>кількість стрічки 25Х4 -380мп,
сталь Ø8мм -85мп
заземлювачі -кутник 50 2,5*6
приварювання до колон, та до інших контурів</t>
  </si>
  <si>
    <t>Бетон С8/10 -12м3 
Плівка під бетон в два шари -124м2</t>
  </si>
  <si>
    <t>Щебенева подушка (засипання, пошарове трамбування)</t>
  </si>
  <si>
    <t>Щебенева подушка 30см -37м3
та під Фз-1 50см -5м3</t>
  </si>
  <si>
    <t xml:space="preserve">Загальний об'єм засипки в ущільненому стані -226,0м3 в т.ч. 20м3 піску (в тому числі 1.0м навколо фундаменту, пазухи з двох сторін фундаменту) </t>
  </si>
  <si>
    <r>
      <t xml:space="preserve">Виїмка грунту - 347м3 
Переміщення по майданчику.
</t>
    </r>
    <r>
      <rPr>
        <sz val="10"/>
        <color rgb="FFFF0000"/>
        <rFont val="Verdana"/>
        <family val="2"/>
        <charset val="204"/>
      </rPr>
      <t>Зайвий грунт - 121м3</t>
    </r>
  </si>
  <si>
    <t xml:space="preserve">монолітна плита підлоги товщиною -150мм
металоємність підлоги -903,0 кг.             
Бетон С 16/20 -18,0м3. </t>
  </si>
  <si>
    <t>ФУТЛЯРИ в будівлі із стальними протяжками -тп 50  -380м.п        
м. d=150мм - 4м.п.,
Включено футляри між приямками ГРШ та КШ</t>
  </si>
  <si>
    <t>Роботи нульового циклу (електроприямки ПР-1 -1шт, ПР-2 -2шт,</t>
  </si>
  <si>
    <t>ПР-1, ПР-2, бетон кл. С16/20 -1,1+2*2,3м3 
кришки приям. та закладні -216кг (кутники, армування та алюмінієві рифлені листи з ручками прихованого виконання.</t>
  </si>
  <si>
    <t>3.1.15</t>
  </si>
  <si>
    <t>Гідроізоляція в два шари в т.ч. напуски: вертикальна  -95м2
горизонтальна  -138м2
Бітумна мастика - 300л</t>
  </si>
  <si>
    <r>
      <rPr>
        <b/>
        <sz val="10"/>
        <rFont val="Verdana"/>
        <family val="2"/>
        <charset val="204"/>
      </rPr>
      <t>Периметр будівлі -48 мп
периметр цоколя будівлі під 
плитку - 32мп</t>
    </r>
    <r>
      <rPr>
        <sz val="10"/>
        <rFont val="Verdana"/>
        <family val="2"/>
        <charset val="204"/>
      </rPr>
      <t xml:space="preserve">
обєм пінопласту -2,5м3
площа плитки - 9,6м2 </t>
    </r>
  </si>
  <si>
    <r>
      <t xml:space="preserve">площа підлоги - </t>
    </r>
    <r>
      <rPr>
        <b/>
        <sz val="10"/>
        <rFont val="Verdana"/>
        <family val="2"/>
        <charset val="204"/>
      </rPr>
      <t>122</t>
    </r>
    <r>
      <rPr>
        <b/>
        <sz val="10"/>
        <color indexed="8"/>
        <rFont val="Verdana"/>
        <family val="2"/>
        <charset val="204"/>
      </rPr>
      <t xml:space="preserve">,0 м2
</t>
    </r>
    <r>
      <rPr>
        <sz val="10"/>
        <color indexed="8"/>
        <rFont val="Verdana"/>
        <family val="2"/>
        <charset val="204"/>
      </rPr>
      <t xml:space="preserve">з них фірмова - 101,0 м2
чобітків -3,0мп
У розцінку включено грунтування </t>
    </r>
  </si>
  <si>
    <r>
      <t xml:space="preserve">Внутрішні оздоблювальні роботи стелі та стіни </t>
    </r>
    <r>
      <rPr>
        <b/>
        <sz val="10"/>
        <color indexed="8"/>
        <rFont val="Verdana"/>
        <family val="2"/>
        <charset val="204"/>
      </rPr>
      <t xml:space="preserve">операторної </t>
    </r>
    <r>
      <rPr>
        <sz val="10"/>
        <color indexed="8"/>
        <rFont val="Verdana"/>
        <family val="2"/>
        <charset val="204"/>
      </rPr>
      <t xml:space="preserve">малярні роботи </t>
    </r>
  </si>
  <si>
    <r>
      <t xml:space="preserve">площа стін під плитку - </t>
    </r>
    <r>
      <rPr>
        <b/>
        <sz val="10"/>
        <rFont val="Verdana"/>
        <family val="2"/>
        <charset val="204"/>
      </rPr>
      <t>73 м2</t>
    </r>
    <r>
      <rPr>
        <sz val="10"/>
        <rFont val="Verdana"/>
        <family val="2"/>
        <charset val="204"/>
      </rPr>
      <t xml:space="preserve">
з них фірмова - 59,5 м2  В загальну площу входить площа підвіконь. У розцінку включено грунтування </t>
    </r>
  </si>
  <si>
    <t>Специфікація на влаштування кліматичних систем   АЗС  м.Ужгород, вул. Підградська 29</t>
  </si>
  <si>
    <t>НБУ 23.09.2024р.</t>
  </si>
  <si>
    <t>Долар, грн.</t>
  </si>
  <si>
    <t>Євро, грн.</t>
  </si>
  <si>
    <t>Вартість матеріальної складової за одиницю, грн. з ПДВ</t>
  </si>
  <si>
    <t>Вартість монтажу за одиницю, грн. з ПДВ</t>
  </si>
  <si>
    <t>Примітки</t>
  </si>
  <si>
    <t>Валютна складова Долар/Євро</t>
  </si>
  <si>
    <t>В3-В8 (санвузол + кладові)</t>
  </si>
  <si>
    <t>Повітропроводи та фасонні вироби з оцинкованої сталі Спіровент 125 (0,5мм)</t>
  </si>
  <si>
    <t>Вентилятор S&amp;P DECOR-200 CZ</t>
  </si>
  <si>
    <t>Повітропровід ATCO ATR-125 (1м) опуски</t>
  </si>
  <si>
    <t>Гратка МВ152ВК RAL7024</t>
  </si>
  <si>
    <t>Кріпильні елементи
У розрахунку врахувати одну вент. лінію із влаштуванням одного вентилятора (при необхідності із опуском), гратка зовнішня та повітропровід)</t>
  </si>
  <si>
    <t>Теплова завіса повітряна S&amp;P COR-9-1500 N 400v</t>
  </si>
  <si>
    <t>Кріплення, метизи, розхідні матеріали, трубки з нержавійки для влаштування теплової завіси</t>
  </si>
  <si>
    <t>комп.</t>
  </si>
  <si>
    <t>ВП-1 (електрощитова та вузол вводу)</t>
  </si>
  <si>
    <t>Гратка алюмінієва зовнішня150*150 RAL7024</t>
  </si>
  <si>
    <t>Гратка внутрішня 150х150 з перекриттям</t>
  </si>
  <si>
    <t>Кріпильні елементи
У розрахунку врахувати одну вент. лінію - повітропровід, гратка зовнішня та внутрішня)</t>
  </si>
  <si>
    <t>П-1</t>
  </si>
  <si>
    <r>
      <rPr>
        <sz val="10"/>
        <rFont val="Arial"/>
        <family val="2"/>
        <charset val="204"/>
      </rPr>
      <t xml:space="preserve">Листовий термоізолятор спінений каучук із самоклеєм K-FLEX або Rubber  </t>
    </r>
    <r>
      <rPr>
        <b/>
        <sz val="10"/>
        <rFont val="Arial"/>
        <family val="2"/>
        <charset val="204"/>
      </rPr>
      <t>06</t>
    </r>
    <r>
      <rPr>
        <sz val="10"/>
        <rFont val="Arial"/>
        <family val="2"/>
        <charset val="204"/>
      </rPr>
      <t xml:space="preserve">mm  AD H-air DuctЛистовий термоізолятор спінений каучук із самоклеєм K-FLEX або Rubber  </t>
    </r>
    <r>
      <rPr>
        <b/>
        <sz val="10"/>
        <rFont val="Arial"/>
        <family val="2"/>
        <charset val="204"/>
      </rPr>
      <t>06</t>
    </r>
    <r>
      <rPr>
        <sz val="10"/>
        <rFont val="Arial"/>
        <family val="2"/>
        <charset val="204"/>
      </rPr>
      <t>mm  AD H-air Duct</t>
    </r>
  </si>
  <si>
    <t xml:space="preserve">кількісно змінна позиція </t>
  </si>
  <si>
    <r>
      <rPr>
        <sz val="10"/>
        <rFont val="Arial"/>
        <family val="2"/>
        <charset val="204"/>
      </rPr>
      <t>Дифузор пластиковий МВ 250 ПФс АБС (допускається застосування решітки 250*200 (</t>
    </r>
    <r>
      <rPr>
        <b/>
        <sz val="10"/>
        <rFont val="Arial"/>
        <family val="2"/>
        <charset val="204"/>
      </rPr>
      <t>RAL 7024</t>
    </r>
    <r>
      <rPr>
        <sz val="10"/>
        <rFont val="Arial"/>
        <family val="2"/>
        <charset val="204"/>
      </rPr>
      <t>)Дифузор пластиковий МВ 250 ПФс АБС (допускається застосування решітки 250*200 (</t>
    </r>
    <r>
      <rPr>
        <b/>
        <sz val="10"/>
        <rFont val="Arial"/>
        <family val="2"/>
        <charset val="204"/>
      </rPr>
      <t>RAL 7024</t>
    </r>
    <r>
      <rPr>
        <sz val="10"/>
        <rFont val="Arial"/>
        <family val="2"/>
        <charset val="204"/>
      </rPr>
      <t>)</t>
    </r>
  </si>
  <si>
    <t>Вентилятор канальний ВКМц 315 або Salda VKAP 315 LD 3.0 (по зовнішньому фасаду виконання в  RAL 7024)</t>
  </si>
  <si>
    <t>ВКМц 315</t>
  </si>
  <si>
    <t>Гнучка вставка кругла 315-150 (по зовнішньому фасаду виконання в  RAL 7024)</t>
  </si>
  <si>
    <t xml:space="preserve">Шумогасник СР 400х200 (по зовнішньому фасаду виконання в  RAL 7024) </t>
  </si>
  <si>
    <t>Зворотній клапан 315</t>
  </si>
  <si>
    <t>Гравітаційна решітка 350*350 (RAL7024)</t>
  </si>
  <si>
    <t>Кріплення для П-1</t>
  </si>
  <si>
    <t>Фільтр-бокс д.315</t>
  </si>
  <si>
    <t xml:space="preserve">Нагрівач  д.315-9 кВт </t>
  </si>
  <si>
    <t>Автоматика керування на програмованому контроллері з частотним регулятором швидкості припливного вентилятора Danfoss</t>
  </si>
  <si>
    <t xml:space="preserve">Кондиціонер касетний MDCD-48HRFN8/MDOU-48HFN8 </t>
  </si>
  <si>
    <t>Кондиціонер настінний MDSAG-09HRDN8 /MDOAG-09HDN8</t>
  </si>
  <si>
    <t>Магістраль між внутр. та зовн. блоками до п.1</t>
  </si>
  <si>
    <t>Магістраль між внутр. та зовн. блоками до п.2</t>
  </si>
  <si>
    <t>Кронштейн для монтажу зовнішнього блоку для п. 5.4</t>
  </si>
  <si>
    <t>Кронштейн для монтажу зовнішнього блоку для п. 5.6</t>
  </si>
  <si>
    <t>Трубка дренажна для кондиціонерів діаметр 16 мм. жорстка</t>
  </si>
  <si>
    <t>Трубка дренажна для кондиціонерів діаметр 32 мм. жорстка</t>
  </si>
  <si>
    <t>Демонтаж обладнання та матеріалів</t>
  </si>
  <si>
    <t>Вибивання технологічного отвору для прокладання повітрепроводу</t>
  </si>
  <si>
    <t>Демонтаж  вентиляційного повітропроводу (м.кв.)</t>
  </si>
  <si>
    <t>Демонтаж завіси</t>
  </si>
  <si>
    <t>Демонтаж вентилятора</t>
  </si>
  <si>
    <t>Демонтаж кондиціонера касетного (внутр. блок)</t>
  </si>
  <si>
    <t>Демонтаж кондиціонера настінного (внутр. блок)</t>
  </si>
  <si>
    <t>Демонтаж зовн. блоку кондиціонера</t>
  </si>
  <si>
    <t>Демонтаж конвектора</t>
  </si>
  <si>
    <t>Демонтаж вентиляційної решітки</t>
  </si>
  <si>
    <t>Відрядження, проживання (2-а працівника)</t>
  </si>
  <si>
    <t>доба</t>
  </si>
  <si>
    <t xml:space="preserve">Транспорт  автомобіль до 2 тонн  (база-АЗК). Розраховується в одну сторону. Використовується у разі, якщо відстань від точки виїзду до АЗК становить до 50 км (включно). </t>
  </si>
  <si>
    <t xml:space="preserve">Транспорт  автомобіль до 2 тонн  (база-АЗК). Розраховується в одну сторону. Використовується у разі, якщо відстань від точки виїзду до АЗК становить до 200 км (включно). </t>
  </si>
  <si>
    <t>Транспорт вантажопідйомністю до 2т для перевезення інструментів та працівників. Розраховується в одну сторону.  Вартість 1 км = вартість 1 л пального (грн з ПДВ)*коефіцієнт.  У договорі загальну вартість пункту буде вказано за вартістю пального на дату заключення договору.У акті виконаних робіт загальну вартість пункту буде розраховано за вартістю пального на дату останнього авансу. Джерело вартості пального - сайт https://www.okko.ua/uk/fuels. Використовується у разі, якщо відстань від точки виїзду до АЗК становить від 201 км і більше. Коефіцієнт проставляє підрядник (вантажно-пасажирський транспорт вантажнопідйомністю до 2т ). Тендерна вартість палива ДП 54,99грн/л.</t>
  </si>
  <si>
    <t>Не змінювати формулу. Просимо вказати коефіцієнт</t>
  </si>
  <si>
    <t>два виїзди</t>
  </si>
  <si>
    <t>Розробка монтажних схем (в т.ч. виконавчих та паспортів)</t>
  </si>
  <si>
    <t>Загальна сума, грн. з ПДВ</t>
  </si>
  <si>
    <t>на основі MВМ</t>
  </si>
  <si>
    <t>Аванс становить</t>
  </si>
  <si>
    <t xml:space="preserve">Відтермінування кінцевої оплати після підписання акту прийому передачі товару/робіт .
</t>
  </si>
  <si>
    <t xml:space="preserve">Термін поставки та монтажу обладнання </t>
  </si>
  <si>
    <t>Валюта, від якої встановлюється залежність</t>
  </si>
  <si>
    <t>$</t>
  </si>
  <si>
    <t>долар</t>
  </si>
  <si>
    <t>Термін фіксації вартості</t>
  </si>
  <si>
    <t xml:space="preserve"> місяців</t>
  </si>
  <si>
    <t>Закриття акту виконаних робіт - Джерело курсу НБУ на дату авансового платежу та на дату АВР</t>
  </si>
  <si>
    <r>
      <t xml:space="preserve">площа шпаклювання стін та стель: </t>
    </r>
    <r>
      <rPr>
        <b/>
        <sz val="10"/>
        <color indexed="8"/>
        <rFont val="Verdana"/>
        <family val="2"/>
        <charset val="204"/>
      </rPr>
      <t xml:space="preserve">265,6 м2
</t>
    </r>
    <r>
      <rPr>
        <sz val="10"/>
        <color indexed="8"/>
        <rFont val="Verdana"/>
        <family val="2"/>
        <charset val="204"/>
      </rPr>
      <t>(включено шпаклювання стін торгового залу та кафе)   
відкоси -15мп (входять в заг. S)</t>
    </r>
  </si>
  <si>
    <r>
      <t>площа малярки г/к стель -</t>
    </r>
    <r>
      <rPr>
        <b/>
        <sz val="10"/>
        <rFont val="Verdana"/>
        <family val="2"/>
        <charset val="204"/>
      </rPr>
      <t>26</t>
    </r>
    <r>
      <rPr>
        <b/>
        <sz val="10"/>
        <color indexed="8"/>
        <rFont val="Verdana"/>
        <family val="2"/>
        <charset val="204"/>
      </rPr>
      <t xml:space="preserve">м2
</t>
    </r>
    <r>
      <rPr>
        <sz val="10"/>
        <color indexed="8"/>
        <rFont val="Verdana"/>
        <family val="2"/>
        <charset val="204"/>
      </rPr>
      <t>площа малярки стін -</t>
    </r>
    <r>
      <rPr>
        <b/>
        <sz val="10"/>
        <color rgb="FF000000"/>
        <rFont val="Verdana"/>
        <family val="2"/>
        <charset val="204"/>
      </rPr>
      <t>239,6</t>
    </r>
    <r>
      <rPr>
        <b/>
        <sz val="10"/>
        <color indexed="8"/>
        <rFont val="Verdana"/>
        <family val="2"/>
        <charset val="204"/>
      </rPr>
      <t>м2</t>
    </r>
    <r>
      <rPr>
        <sz val="10"/>
        <color indexed="8"/>
        <rFont val="Verdana"/>
        <family val="2"/>
        <charset val="204"/>
      </rPr>
      <t xml:space="preserve"> 
(сіре пофарб миючою фарбою RAL 7038) (біле пофарб) Пофарбування стін торгового залу за грильято у графітовий колір -37м2 У розцінку включено грунтування </t>
    </r>
  </si>
  <si>
    <t>площа АМСТРОНГ- 11м2</t>
  </si>
  <si>
    <t xml:space="preserve">площа гквс -16м2. </t>
  </si>
  <si>
    <r>
      <t>S</t>
    </r>
    <r>
      <rPr>
        <sz val="10"/>
        <color indexed="8"/>
        <rFont val="Verdana"/>
        <family val="2"/>
        <charset val="204"/>
      </rPr>
      <t xml:space="preserve"> грильято магазин +коридор -  86,0м2, </t>
    </r>
  </si>
  <si>
    <t>площа ламінату - 102м2</t>
  </si>
  <si>
    <t>Монтаж цоколя алюмінієвого Н =100мм</t>
  </si>
  <si>
    <t>кутників -126мп
повздовжніх смуг -99мп
Включає всі витрати</t>
  </si>
  <si>
    <r>
      <t>довжина трубопрободу з утепленням  -5</t>
    </r>
    <r>
      <rPr>
        <b/>
        <sz val="10"/>
        <color indexed="8"/>
        <rFont val="Verdana"/>
        <family val="2"/>
        <charset val="204"/>
      </rPr>
      <t>5 мп</t>
    </r>
    <r>
      <rPr>
        <sz val="10"/>
        <color indexed="8"/>
        <rFont val="Verdana"/>
        <family val="2"/>
        <charset val="204"/>
      </rPr>
      <t xml:space="preserve">, 
запірна арматура - </t>
    </r>
    <r>
      <rPr>
        <b/>
        <sz val="10"/>
        <color indexed="8"/>
        <rFont val="Verdana"/>
        <family val="2"/>
        <charset val="204"/>
      </rPr>
      <t>15 шт</t>
    </r>
    <r>
      <rPr>
        <sz val="10"/>
        <color indexed="8"/>
        <rFont val="Verdana"/>
        <family val="2"/>
        <charset val="204"/>
      </rPr>
      <t>.</t>
    </r>
  </si>
  <si>
    <r>
      <t>довжина трубопроводу з утепленням Т3 -30</t>
    </r>
    <r>
      <rPr>
        <b/>
        <sz val="10"/>
        <color indexed="8"/>
        <rFont val="Verdana"/>
        <family val="2"/>
        <charset val="204"/>
      </rPr>
      <t>мп.</t>
    </r>
    <r>
      <rPr>
        <sz val="10"/>
        <color indexed="8"/>
        <rFont val="Verdana"/>
        <family val="2"/>
        <charset val="204"/>
      </rPr>
      <t xml:space="preserve"> 
Запірна арматура - 12 шт. Кріпильні матеріали</t>
    </r>
  </si>
  <si>
    <t>бак запасу води 1,0 м3 -1шт
гідроджет з напірним баком на 50л -1шт</t>
  </si>
  <si>
    <r>
      <t xml:space="preserve">Каналізація К1, К3 (до першого
зовнішнього колодязя) - </t>
    </r>
    <r>
      <rPr>
        <b/>
        <sz val="10"/>
        <color indexed="8"/>
        <rFont val="Verdana"/>
        <family val="2"/>
        <charset val="204"/>
      </rPr>
      <t xml:space="preserve">66мп </t>
    </r>
    <r>
      <rPr>
        <sz val="10"/>
        <color indexed="8"/>
        <rFont val="Verdana"/>
        <family val="2"/>
        <charset val="204"/>
      </rPr>
      <t xml:space="preserve"> 
к-сть  трапів Д=50мм - </t>
    </r>
    <r>
      <rPr>
        <b/>
        <sz val="10"/>
        <color indexed="8"/>
        <rFont val="Verdana"/>
        <family val="2"/>
        <charset val="204"/>
      </rPr>
      <t>1шт</t>
    </r>
    <r>
      <rPr>
        <sz val="10"/>
        <color indexed="8"/>
        <rFont val="Verdana"/>
        <family val="2"/>
        <charset val="204"/>
      </rPr>
      <t xml:space="preserve">. 
К-2 дренаж </t>
    </r>
    <r>
      <rPr>
        <b/>
        <sz val="10"/>
        <color indexed="8"/>
        <rFont val="Verdana"/>
        <family val="2"/>
        <charset val="204"/>
      </rPr>
      <t xml:space="preserve">10мп. </t>
    </r>
    <r>
      <rPr>
        <sz val="10"/>
        <color indexed="8"/>
        <rFont val="Verdana"/>
        <family val="2"/>
        <charset val="204"/>
      </rPr>
      <t>(вентиляція)
Розповітрювальний клапан за підвісною стелею. Включено всі підйоми.</t>
    </r>
  </si>
  <si>
    <r>
      <t>Внутр.побут.каналіз.</t>
    </r>
    <r>
      <rPr>
        <b/>
        <sz val="10"/>
        <color indexed="8"/>
        <rFont val="Verdana"/>
        <family val="2"/>
        <charset val="204"/>
      </rPr>
      <t xml:space="preserve">К-1; К-3; К2
операторної </t>
    </r>
    <r>
      <rPr>
        <sz val="10"/>
        <color indexed="8"/>
        <rFont val="Verdana"/>
        <family val="2"/>
        <charset val="204"/>
      </rPr>
      <t>(пробивання та зароблення отворів і штраб, прокладання системи пластикових трубопроводів, прочистки, згони)</t>
    </r>
  </si>
  <si>
    <r>
      <t>Сантехнічні прилади (унітази -</t>
    </r>
    <r>
      <rPr>
        <b/>
        <sz val="10"/>
        <color rgb="FF000000"/>
        <rFont val="Verdana"/>
        <family val="2"/>
        <charset val="204"/>
      </rPr>
      <t>3</t>
    </r>
    <r>
      <rPr>
        <sz val="10"/>
        <color rgb="FF000000"/>
        <rFont val="Verdana"/>
        <family val="2"/>
        <charset val="204"/>
      </rPr>
      <t>шт</t>
    </r>
    <r>
      <rPr>
        <sz val="10"/>
        <color indexed="8"/>
        <rFont val="Verdana"/>
        <family val="2"/>
        <charset val="204"/>
      </rPr>
      <t>, умивальники -</t>
    </r>
    <r>
      <rPr>
        <b/>
        <sz val="10"/>
        <color indexed="8"/>
        <rFont val="Verdana"/>
        <family val="2"/>
        <charset val="204"/>
      </rPr>
      <t>2</t>
    </r>
    <r>
      <rPr>
        <sz val="10"/>
        <color rgb="FF000000"/>
        <rFont val="Verdana"/>
        <family val="2"/>
        <charset val="204"/>
      </rPr>
      <t>шт</t>
    </r>
    <r>
      <rPr>
        <sz val="10"/>
        <color indexed="8"/>
        <rFont val="Verdana"/>
        <family val="2"/>
        <charset val="204"/>
      </rPr>
      <t>, душові кабіни -</t>
    </r>
    <r>
      <rPr>
        <b/>
        <sz val="10"/>
        <color rgb="FF000000"/>
        <rFont val="Verdana"/>
        <family val="2"/>
        <charset val="204"/>
      </rPr>
      <t>1</t>
    </r>
    <r>
      <rPr>
        <sz val="10"/>
        <color indexed="8"/>
        <rFont val="Verdana"/>
        <family val="2"/>
        <charset val="204"/>
      </rPr>
      <t>шт, столешня -</t>
    </r>
    <r>
      <rPr>
        <b/>
        <sz val="10"/>
        <color rgb="FF000000"/>
        <rFont val="Verdana"/>
        <family val="2"/>
        <charset val="204"/>
      </rPr>
      <t>1</t>
    </r>
    <r>
      <rPr>
        <sz val="10"/>
        <color indexed="8"/>
        <rFont val="Verdana"/>
        <family val="2"/>
        <charset val="204"/>
      </rPr>
      <t>шт, піддони -</t>
    </r>
    <r>
      <rPr>
        <b/>
        <sz val="10"/>
        <color rgb="FF000000"/>
        <rFont val="Verdana"/>
        <family val="2"/>
        <charset val="204"/>
      </rPr>
      <t>1</t>
    </r>
    <r>
      <rPr>
        <sz val="10"/>
        <color indexed="8"/>
        <rFont val="Verdana"/>
        <family val="2"/>
        <charset val="204"/>
      </rPr>
      <t>шт, змішувачі -</t>
    </r>
    <r>
      <rPr>
        <b/>
        <sz val="10"/>
        <color rgb="FF000000"/>
        <rFont val="Verdana"/>
        <family val="2"/>
        <charset val="204"/>
      </rPr>
      <t>2</t>
    </r>
    <r>
      <rPr>
        <sz val="10"/>
        <color indexed="8"/>
        <rFont val="Verdana"/>
        <family val="2"/>
        <charset val="204"/>
      </rPr>
      <t>шт, рукосушки+змішувач -</t>
    </r>
    <r>
      <rPr>
        <b/>
        <sz val="10"/>
        <color rgb="FF000000"/>
        <rFont val="Verdana"/>
        <family val="2"/>
        <charset val="204"/>
      </rPr>
      <t>3+3</t>
    </r>
    <r>
      <rPr>
        <sz val="10"/>
        <color indexed="8"/>
        <rFont val="Verdana"/>
        <family val="2"/>
        <charset val="204"/>
      </rPr>
      <t>шт, диспенсери мила -3шт, регулятори -3шт, сифони -</t>
    </r>
    <r>
      <rPr>
        <b/>
        <sz val="10"/>
        <color rgb="FF000000"/>
        <rFont val="Verdana"/>
        <family val="2"/>
        <charset val="204"/>
      </rPr>
      <t>5</t>
    </r>
    <r>
      <rPr>
        <sz val="10"/>
        <color indexed="8"/>
        <rFont val="Verdana"/>
        <family val="2"/>
        <charset val="204"/>
      </rPr>
      <t>шт, фурнітура (гачки, тримачі, ) -</t>
    </r>
    <r>
      <rPr>
        <b/>
        <sz val="10"/>
        <color rgb="FF000000"/>
        <rFont val="Verdana"/>
        <family val="2"/>
        <charset val="204"/>
      </rPr>
      <t>6</t>
    </r>
    <r>
      <rPr>
        <sz val="10"/>
        <color indexed="8"/>
        <rFont val="Verdana"/>
        <family val="2"/>
        <charset val="204"/>
      </rPr>
      <t>шт. Рами зливних механізмів -</t>
    </r>
    <r>
      <rPr>
        <b/>
        <sz val="10"/>
        <color rgb="FF000000"/>
        <rFont val="Verdana"/>
        <family val="2"/>
        <charset val="204"/>
      </rPr>
      <t>3</t>
    </r>
    <r>
      <rPr>
        <sz val="10"/>
        <color indexed="8"/>
        <rFont val="Verdana"/>
        <family val="2"/>
        <charset val="204"/>
      </rPr>
      <t>шт, (щітка для унітазу, корзина з педалью для туалетного папіру) -</t>
    </r>
    <r>
      <rPr>
        <b/>
        <sz val="10"/>
        <color rgb="FF000000"/>
        <rFont val="Verdana"/>
        <family val="2"/>
        <charset val="204"/>
      </rPr>
      <t>3</t>
    </r>
    <r>
      <rPr>
        <sz val="10"/>
        <color indexed="8"/>
        <rFont val="Verdana"/>
        <family val="2"/>
        <charset val="204"/>
      </rPr>
      <t>компл. Підключення мийок кафе-</t>
    </r>
    <r>
      <rPr>
        <b/>
        <sz val="10"/>
        <color rgb="FF000000"/>
        <rFont val="Verdana"/>
        <family val="2"/>
        <charset val="204"/>
      </rPr>
      <t>2</t>
    </r>
    <r>
      <rPr>
        <sz val="10"/>
        <color indexed="8"/>
        <rFont val="Verdana"/>
        <family val="2"/>
        <charset val="204"/>
      </rPr>
      <t>шт.</t>
    </r>
  </si>
  <si>
    <t>Тільки монтаж
кількість сантехприладів = 41шт
ВАРТІСТЬ І НОМЕНКЛАТУРА ВКАЗАНА В ДОДАТКУ САНТЕХНІКА п.10.1.2</t>
  </si>
  <si>
    <t>загальна довжина кабелів - 1550мп+300мп вентиляція (всі видимі ділянки за підвісною стелею та в г/к стінах прокладаються в чорній гофротрубі закріпленій до стін та стелі в тому числі в футлярах)
ел. установок: розетки та вимикачі -61шт; коробки установчі -35шт; коробоки розподыльчі -65шт; 
гофротруба чорна - 1080м.п.</t>
  </si>
  <si>
    <t>площа дзеркал  -1,8м2</t>
  </si>
  <si>
    <t>Трубопровід ПЕ80 SDR17 Ø50*3 - 60м.п
Піщана підсипка та засипка -5,0 м3.
Запірна арматура -2шт
Водомірний вузол -1шт</t>
  </si>
  <si>
    <r>
      <rPr>
        <b/>
        <sz val="10"/>
        <rFont val="Verdana"/>
        <family val="2"/>
        <charset val="204"/>
      </rPr>
      <t>Заміна каналізації К-1</t>
    </r>
    <r>
      <rPr>
        <sz val="10"/>
        <rFont val="Verdana"/>
        <family val="2"/>
        <charset val="204"/>
      </rPr>
      <t>. (земляні роботи,піщана основа, ущільнення грунту під трубопроводи та під колодязі, залізобетонні колодязі, випробування) Випробування мережі на пролив. Зовнішня обмазувальна гідроізоляція каналізаційних колодязів бітумною мастикою за два рази (розуклонка днищ важким бетоном)</t>
    </r>
  </si>
  <si>
    <r>
      <rPr>
        <b/>
        <sz val="10"/>
        <rFont val="Verdana"/>
        <family val="2"/>
        <charset val="204"/>
      </rPr>
      <t>Водопровід В-1:</t>
    </r>
    <r>
      <rPr>
        <sz val="10"/>
        <rFont val="Verdana"/>
        <family val="2"/>
        <charset val="204"/>
      </rPr>
      <t xml:space="preserve"> Земляні роботи, врізка до водопроводу, що існує, встановлення запірної арматури, випробування, піщана підсипка та засипка, виконання промивки та знезараження нового трубопроводу.   
 Виконання всіх робіт під ключ з введенням мережі в експлуатацію, виконання знімання траси</t>
    </r>
  </si>
  <si>
    <t>Труба 89*4-0,18 тн. -13,5м.п.
арм.Ø10+метал 4 - 5,0 кг
Бетон С12/15 -1,0 м3</t>
  </si>
  <si>
    <t>Труби ПВХ: Ø110 -15мп; Ø160 -80мп
Колодязі Ø1,0м висотою від 1,0м до 1,3м -2шт (компл.)
люки:легкі -2шт,
Встановлення драбин. 
Гідроізоляція бітумом.
Пісок -15м3</t>
  </si>
  <si>
    <r>
      <t>Загальнобудівельні роботи</t>
    </r>
    <r>
      <rPr>
        <sz val="10"/>
        <color indexed="8"/>
        <rFont val="Verdana"/>
        <family val="2"/>
        <charset val="204"/>
      </rPr>
      <t xml:space="preserve"> при монтажі пропанової ємності (розроблення котловану, основа під фундаменти) </t>
    </r>
  </si>
  <si>
    <t>Випроб. точок ущільнення -2шт.</t>
  </si>
  <si>
    <t xml:space="preserve">Бетон С8/10 - 1,0м3 </t>
  </si>
  <si>
    <t>Щебенева подушка 60см -12м3</t>
  </si>
  <si>
    <t xml:space="preserve">фундаменти АГЗП Ф-1 -2шт -1,9м3
бетон С16/20 F50 W4
закладні та арматура -250кг.
Опалубка (оборотність) включена в розцінку.                                                                                  </t>
  </si>
  <si>
    <r>
      <t xml:space="preserve">кількість резерв. - 1 шт;
об'єм резервуарів - 10 м3 
мех. виємка -160м3 (від 118,85 до 116,06)
руч. виємка -1м3
</t>
    </r>
    <r>
      <rPr>
        <sz val="10"/>
        <color indexed="10"/>
        <rFont val="Verdana"/>
        <family val="2"/>
        <charset val="204"/>
      </rPr>
      <t>Зайвий грунт -76м3 для вивезення</t>
    </r>
  </si>
  <si>
    <t xml:space="preserve">ТП 50 -140м.п.                        </t>
  </si>
  <si>
    <t>обєм виємки -11м3
пісок -4м3</t>
  </si>
  <si>
    <r>
      <t xml:space="preserve">Кабелі </t>
    </r>
    <r>
      <rPr>
        <sz val="10"/>
        <color indexed="8"/>
        <rFont val="Verdana"/>
        <family val="2"/>
        <charset val="204"/>
      </rPr>
      <t>SFTP 4*2*051
(датчик контр.загаз.-3шт.) -</t>
    </r>
    <r>
      <rPr>
        <b/>
        <sz val="10"/>
        <color indexed="8"/>
        <rFont val="Verdana"/>
        <family val="2"/>
        <charset val="204"/>
      </rPr>
      <t xml:space="preserve">150мп.
</t>
    </r>
    <r>
      <rPr>
        <sz val="10"/>
        <color indexed="8"/>
        <rFont val="Verdana"/>
        <family val="2"/>
        <charset val="204"/>
      </rPr>
      <t xml:space="preserve">Управління ГРК по 2шт. - </t>
    </r>
    <r>
      <rPr>
        <b/>
        <sz val="10"/>
        <color indexed="8"/>
        <rFont val="Verdana"/>
        <family val="2"/>
        <charset val="204"/>
      </rPr>
      <t xml:space="preserve">80мп.
</t>
    </r>
    <r>
      <rPr>
        <sz val="10"/>
        <color indexed="8"/>
        <rFont val="Verdana"/>
        <family val="2"/>
        <charset val="204"/>
      </rPr>
      <t>Рівнемір 1шт.  -</t>
    </r>
    <r>
      <rPr>
        <b/>
        <sz val="10"/>
        <color indexed="8"/>
        <rFont val="Verdana"/>
        <family val="2"/>
        <charset val="204"/>
      </rPr>
      <t xml:space="preserve">50м.
</t>
    </r>
    <r>
      <rPr>
        <sz val="10"/>
        <color indexed="8"/>
        <rFont val="Verdana"/>
        <family val="2"/>
        <charset val="204"/>
      </rPr>
      <t>Пожежна кнопка -</t>
    </r>
    <r>
      <rPr>
        <b/>
        <sz val="10"/>
        <color indexed="8"/>
        <rFont val="Verdana"/>
        <family val="2"/>
        <charset val="204"/>
      </rPr>
      <t xml:space="preserve">40м.
</t>
    </r>
    <r>
      <rPr>
        <sz val="10"/>
        <color indexed="8"/>
        <rFont val="Verdana"/>
        <family val="2"/>
        <charset val="204"/>
      </rPr>
      <t>Переговорка</t>
    </r>
    <r>
      <rPr>
        <b/>
        <sz val="10"/>
        <color indexed="8"/>
        <rFont val="Verdana"/>
        <family val="2"/>
        <charset val="204"/>
      </rPr>
      <t xml:space="preserve"> -0м.</t>
    </r>
  </si>
  <si>
    <t>Загальнобудівельні роботи та монтаж приямків під окремостоячі ГРК (земляні роботи, бетонна основа, монтаж; розварювання до колон кутником, герметизація, без вартості приямку).</t>
  </si>
  <si>
    <r>
      <t>кількість приямків (без вартості приямків, тільки монтаж) - 1</t>
    </r>
    <r>
      <rPr>
        <b/>
        <sz val="10"/>
        <rFont val="Verdana"/>
        <family val="2"/>
        <charset val="204"/>
      </rPr>
      <t>шт;</t>
    </r>
    <r>
      <rPr>
        <sz val="10"/>
        <rFont val="Verdana"/>
        <family val="2"/>
        <charset val="204"/>
      </rPr>
      <t xml:space="preserve"> Бетон C 10/12 - 0,6м3, армування - 30 кг.</t>
    </r>
  </si>
  <si>
    <t>2.4.9</t>
  </si>
  <si>
    <t>кількість ПРК, шт- 2шт</t>
  </si>
  <si>
    <t>Встановлення ПРК (без підключення)
Передбачає розвантажувальні роботи та встановлення на установочне місце.</t>
  </si>
  <si>
    <r>
      <t>кількість приямків +вузол зливу (без вартості приямків, тільки монтаж) - 3</t>
    </r>
    <r>
      <rPr>
        <b/>
        <sz val="10"/>
        <rFont val="Verdana"/>
        <family val="2"/>
        <charset val="204"/>
      </rPr>
      <t>шт;</t>
    </r>
    <r>
      <rPr>
        <sz val="10"/>
        <rFont val="Verdana"/>
        <family val="2"/>
        <charset val="204"/>
      </rPr>
      <t xml:space="preserve"> Бетон C 10/12 - 0,6м3, армування - 30 кг.</t>
    </r>
  </si>
  <si>
    <t>Загальнобудівельні роботи при монтажі  трубопроводів технології (земляні роботи, бетонна основа, засипка та підсипка змонтованих трубопроводів піском з трамбуванням та проливанням водою)</t>
  </si>
  <si>
    <t>обєм виємки -49м3
пісок -20м3
бетон -0м3</t>
  </si>
  <si>
    <r>
      <t xml:space="preserve">Влаштування відкритим способом футлярів під газові технологічні трубопроводи.
</t>
    </r>
    <r>
      <rPr>
        <b/>
        <sz val="10"/>
        <color rgb="FFFF0000"/>
        <rFont val="Arial Cyr"/>
        <charset val="204"/>
      </rPr>
      <t>Перед прокладанням затягуємо газові трубопроводи!</t>
    </r>
  </si>
  <si>
    <t>Труба гофрована діам. 100мм -86м.п.
Два футляри по 45мп
Земляні роботи засипання піском 7м3</t>
  </si>
  <si>
    <t>2.4.10</t>
  </si>
  <si>
    <t>2.2.5</t>
  </si>
  <si>
    <r>
      <t>кількість систем -1
загальний об'єм приміщень -500м3
MDCD-48HRFN8/MDOU-48HFN8-</t>
    </r>
    <r>
      <rPr>
        <b/>
        <sz val="10"/>
        <rFont val="Verdana"/>
        <family val="2"/>
        <charset val="204"/>
      </rPr>
      <t>2шт</t>
    </r>
    <r>
      <rPr>
        <sz val="10"/>
        <rFont val="Verdana"/>
        <family val="2"/>
        <charset val="204"/>
      </rPr>
      <t xml:space="preserve">
кан. і ось. вентилятори -</t>
    </r>
    <r>
      <rPr>
        <b/>
        <sz val="10"/>
        <rFont val="Verdana"/>
        <family val="2"/>
        <charset val="204"/>
      </rPr>
      <t>7шт</t>
    </r>
    <r>
      <rPr>
        <sz val="10"/>
        <rFont val="Verdana"/>
        <family val="2"/>
        <charset val="204"/>
      </rPr>
      <t>.        електрокалорифер -</t>
    </r>
    <r>
      <rPr>
        <b/>
        <sz val="10"/>
        <rFont val="Verdana"/>
        <family val="2"/>
        <charset val="204"/>
      </rPr>
      <t>1шт</t>
    </r>
    <r>
      <rPr>
        <sz val="10"/>
        <rFont val="Verdana"/>
        <family val="2"/>
        <charset val="204"/>
      </rPr>
      <t>.
повітропроводи -110м2         Рушникосушка -</t>
    </r>
    <r>
      <rPr>
        <b/>
        <sz val="10"/>
        <rFont val="Verdana"/>
        <family val="2"/>
        <charset val="204"/>
      </rPr>
      <t>1шт</t>
    </r>
    <r>
      <rPr>
        <sz val="10"/>
        <rFont val="Verdana"/>
        <family val="2"/>
        <charset val="204"/>
      </rPr>
      <t xml:space="preserve"> Електрокалорифери настінні -</t>
    </r>
    <r>
      <rPr>
        <b/>
        <sz val="10"/>
        <rFont val="Verdana"/>
        <family val="2"/>
        <charset val="204"/>
      </rPr>
      <t>3шт</t>
    </r>
    <r>
      <rPr>
        <sz val="10"/>
        <rFont val="Verdana"/>
        <family val="2"/>
        <charset val="204"/>
      </rPr>
      <t>, пов. завіса S&amp;P COR-9-1500 N 400v -</t>
    </r>
    <r>
      <rPr>
        <b/>
        <sz val="10"/>
        <rFont val="Verdana"/>
        <family val="2"/>
        <charset val="204"/>
      </rPr>
      <t>1шт,</t>
    </r>
    <r>
      <rPr>
        <sz val="10"/>
        <rFont val="Verdana"/>
        <family val="2"/>
        <charset val="204"/>
      </rPr>
      <t xml:space="preserve"> Кондиціонер MDSAG-09HRDN8 /MDOAG-09HDN8-1</t>
    </r>
    <r>
      <rPr>
        <b/>
        <sz val="10"/>
        <rFont val="Verdana"/>
        <family val="2"/>
        <charset val="204"/>
      </rPr>
      <t>шт</t>
    </r>
    <r>
      <rPr>
        <sz val="10"/>
        <rFont val="Verdana"/>
        <family val="2"/>
        <charset val="204"/>
      </rPr>
      <t>, Фреонова магістраль -25мп</t>
    </r>
  </si>
  <si>
    <t>Постачання та монтаж обладнання витяжних систем прикасової зони операторної  АЗС м.Ужгород, вул. Підградська 29</t>
  </si>
  <si>
    <t>курс НБУ 23.09.2023р.</t>
  </si>
  <si>
    <t>Євро/грн.</t>
  </si>
  <si>
    <t>Назва обладнання, робіт та послуг</t>
  </si>
  <si>
    <t>Монтажні роботи, грн з ПДВ</t>
  </si>
  <si>
    <t>Матеріальна складова, грн з ПДВ</t>
  </si>
  <si>
    <t>Вартість, Євро з ПДВ</t>
  </si>
  <si>
    <t>Система В1 (Зонт)</t>
  </si>
  <si>
    <t>Зонт пристінний з оцинкованої сталі 1000х550х500  з жировловлювачами із нержавіючої сталі</t>
  </si>
  <si>
    <t xml:space="preserve">Повітропровід та фасонні вироби з оцинкованої сталі d=0,55мм (по зовнішньому фасаду виконання в  RAL 7024) </t>
  </si>
  <si>
    <t>Регулятор Soler&amp;Palau REB-2.5 N E *230V 50* або Salda ETY 2.5</t>
  </si>
  <si>
    <t>ETY 2.5</t>
  </si>
  <si>
    <t>Кріпильні елементи</t>
  </si>
  <si>
    <t>комплект</t>
  </si>
  <si>
    <t>Демонтажні роботи</t>
  </si>
  <si>
    <t>Вибивання технологічного отвору</t>
  </si>
  <si>
    <r>
      <rPr>
        <sz val="10"/>
        <rFont val="Arial"/>
        <family val="2"/>
        <charset val="204"/>
      </rPr>
      <t>Відрядження, проживання (</t>
    </r>
    <r>
      <rPr>
        <b/>
        <sz val="10"/>
        <rFont val="Arial"/>
        <family val="2"/>
        <charset val="204"/>
      </rPr>
      <t>2-а працівника</t>
    </r>
    <r>
      <rPr>
        <sz val="10"/>
        <rFont val="Arial"/>
        <family val="2"/>
        <charset val="204"/>
      </rPr>
      <t>)</t>
    </r>
  </si>
  <si>
    <t xml:space="preserve">Транспорт автомобіль до 2 т для перевезення інструментів та працівників (база-АЗК). Розраховується в одну сторону. Використовується у разі, якщо відстань від точки виїзду до АЗК становить до 50 км (включно). </t>
  </si>
  <si>
    <t>Вартість ДП на момент проведення тендеру 05.01.22</t>
  </si>
  <si>
    <t xml:space="preserve">Транспорт автомобіль до 2 т для перевезення інструментів та працівників (база-АЗК). Розраховується в одну сторону. Використовується у разі, якщо відстань від точки виїзду до АЗК становить до 200 км (включно). </t>
  </si>
  <si>
    <t>Транспорт вантажопідйомністю до 2т для перевезення інструментів та працівників. Розраховується в одну сторону.  Вартість 1 км = вартість 1 л пального (грн з ПДВ)*коефіцієнт. У договорі загальну вартість пункту буде вказано за вартістю пального на дату заключення договору.У акті виконаних робіт загальну вартість пункту буде розраховано за вартістю пального на дату авансу або дату акту виконаних робіт. Використовується у разі, якщо відстань від точки виїзду до АЗК становить більше 200 км. Джерело вартості пального - сайт https://www.okko.ua/uk/fuels</t>
  </si>
  <si>
    <t>Розробка монтажних схем</t>
  </si>
  <si>
    <t>Загальна вартість робіт та обладнання на одній АЗК (об'єкті), грн з ПДВ</t>
  </si>
  <si>
    <t>Інша важлива інформація від учасника</t>
  </si>
  <si>
    <t>% (рекомендовано 30%)</t>
  </si>
  <si>
    <t>Відтермінування кінцевої оплати після підписання акту прийому передачі товару/робіт</t>
  </si>
  <si>
    <t>днів, (не менше 10 календарних днів)</t>
  </si>
  <si>
    <t>Термін поставки товару</t>
  </si>
  <si>
    <t>календарних днів</t>
  </si>
  <si>
    <t>В залежності від готовності залу операторної</t>
  </si>
  <si>
    <t xml:space="preserve">Частка вартості, залежна від курсових коливань </t>
  </si>
  <si>
    <t>% загальної вартості пропозиції</t>
  </si>
  <si>
    <t>євро</t>
  </si>
  <si>
    <t>вказати назву валюти</t>
  </si>
  <si>
    <t>Джерело курсу НБУ</t>
  </si>
  <si>
    <t>http://www.bank.gov.ua/control/uk/curmetal/detail/currency?period=daily</t>
  </si>
  <si>
    <r>
      <t xml:space="preserve">Система </t>
    </r>
    <r>
      <rPr>
        <b/>
        <sz val="10"/>
        <color indexed="8"/>
        <rFont val="Verdana"/>
        <family val="2"/>
        <charset val="204"/>
      </rPr>
      <t>П1 -1шт</t>
    </r>
    <r>
      <rPr>
        <sz val="10"/>
        <color indexed="8"/>
        <rFont val="Verdana"/>
        <family val="2"/>
        <charset val="204"/>
      </rPr>
      <t xml:space="preserve">. Вентилятор канального типу VKS 600x300-4 L3 з автоматикою та комплектуючими). Витяжні зонnи у зоні Хот - Кафе - </t>
    </r>
    <r>
      <rPr>
        <b/>
        <sz val="10"/>
        <color indexed="8"/>
        <rFont val="Verdana"/>
        <family val="2"/>
        <charset val="204"/>
      </rPr>
      <t>2шт</t>
    </r>
    <r>
      <rPr>
        <sz val="10"/>
        <color indexed="8"/>
        <rFont val="Verdana"/>
        <family val="2"/>
        <charset val="204"/>
      </rPr>
      <t>. (Зонт пристінний з нерж сталі 700х600 з жироуловлювачами включно нерж. підйом 1,5м.)</t>
    </r>
  </si>
  <si>
    <t>Блискавкоприймач висота 16,0м (370кг)
обєм фундаменту С16/20 W6, F75 -2,4м3 Металоємність фундаменту - 370кг. Заземлення смугою 40*4 -10 м.п. електроди вертик кутник 50Х5  L=3м.п. -3шт.</t>
  </si>
  <si>
    <r>
      <t xml:space="preserve">кількість стрічки 40Х4 </t>
    </r>
    <r>
      <rPr>
        <b/>
        <sz val="10"/>
        <rFont val="Verdana"/>
        <family val="2"/>
        <charset val="204"/>
      </rPr>
      <t>-250м.п.</t>
    </r>
    <r>
      <rPr>
        <sz val="10"/>
        <rFont val="Verdana"/>
        <family val="2"/>
        <charset val="204"/>
      </rPr>
      <t xml:space="preserve">
</t>
    </r>
  </si>
  <si>
    <t>Виготовлення паспорту на блискавкозахист (заміри та погодження однієї щогли).</t>
  </si>
  <si>
    <t>КТП: АВБбШв 4*70 -80мп
ДГ: АВБбШв 4*70 -20мп
ВВГнгд 3Х2,5мм2 -20мп
КВВГ 7Х1,5мм2 -20мп 
ВВГ 5*10 -20мп (для підключення АВР).                
Металорукав - 60мп                                                       Включені всі кабельні наконечники</t>
  </si>
  <si>
    <t xml:space="preserve">ВВГ-3*4 - 120м.п.
ВВГ 5*2,5- 80м.п. (стела)                                 ПРС 3*2,5 - 40мп (в опорах)                                   ВВГ 3*2,5 - 70мп (іміджева стела) +80мп (підсвітка стели, пілону підкачки).            </t>
  </si>
  <si>
    <t>загальна кількісь світильників (монтаж) -шт.
опори, Фундаменти (бетон С12/15 - 0,43м3, армування 19кг), основа з відсіву під кожний фундамент -0,2 м3.</t>
  </si>
  <si>
    <r>
      <t xml:space="preserve">загальна довжина кабелів </t>
    </r>
    <r>
      <rPr>
        <b/>
        <sz val="10"/>
        <rFont val="Verdana"/>
        <family val="2"/>
        <charset val="204"/>
      </rPr>
      <t>-240мп</t>
    </r>
    <r>
      <rPr>
        <sz val="10"/>
        <rFont val="Verdana"/>
        <family val="2"/>
        <charset val="204"/>
      </rPr>
      <t xml:space="preserve">
Кабелі від комутаційної шафи до ПРК та резервуарного парку: 
SFTP 4*2*0,51 -60мп (30х2)
SFTP 4х2х0,51 -120мп (30х4)
два кабелі на датчики випарів гексану - 60мп</t>
    </r>
  </si>
  <si>
    <r>
      <t>загальна довжина кабелів від ГРШ  -</t>
    </r>
    <r>
      <rPr>
        <b/>
        <sz val="10"/>
        <rFont val="Verdana"/>
        <family val="2"/>
        <charset val="204"/>
      </rPr>
      <t>350м</t>
    </r>
    <r>
      <rPr>
        <sz val="10"/>
        <rFont val="Verdana"/>
        <family val="2"/>
        <charset val="204"/>
      </rPr>
      <t xml:space="preserve"> (підвід футлярами  ВВГ 3*2,5мм2 -110мп, ВВГ 5*2,5 -50мп П1 та П2 та стел на острівках із спайдерами та фризів навісу окремо трьома групами ВВГ 3*2,5 -140мп, ВВГ 5*2,5 - 50мп, коробки -12шт; Металорукав  Д=20мм -200мп </t>
    </r>
  </si>
  <si>
    <r>
      <t xml:space="preserve">Електроосвітлення навісу (бензин та ДП) (протягування в футляри, коробки, влаштування по конструкціях в гофротрубі, випробування, під'єднання) </t>
    </r>
    <r>
      <rPr>
        <b/>
        <sz val="10"/>
        <rFont val="Verdana"/>
        <family val="2"/>
        <charset val="204"/>
      </rPr>
      <t>без вартості світильників (включені в п.10.1.3)</t>
    </r>
    <r>
      <rPr>
        <b/>
        <sz val="10"/>
        <color indexed="10"/>
        <rFont val="Verdana"/>
        <family val="2"/>
        <charset val="204"/>
      </rPr>
      <t xml:space="preserve"> </t>
    </r>
    <r>
      <rPr>
        <b/>
        <sz val="10"/>
        <rFont val="Verdana"/>
        <family val="2"/>
        <charset val="204"/>
      </rPr>
      <t>і монтажу</t>
    </r>
  </si>
  <si>
    <t>L77100000 FREJA Півп'ядестал для умивальника (білий)</t>
  </si>
  <si>
    <t>душовий піддон 800х800</t>
  </si>
  <si>
    <t>L79200000 FREJA Унітаз-компакт підлоговий з дюропластовим сидінням, горизон. випуском, класичний, 3/6 л н/п (білий) унітаз</t>
  </si>
  <si>
    <t>LED стрічка блок живлення алюм. П-подібн профіль з розс.</t>
  </si>
  <si>
    <t>Розмітка білою фарбою</t>
  </si>
  <si>
    <t>3.18 "Рух транспортних засобів, висота яких перевищує 4,3 м. заборонено"</t>
  </si>
  <si>
    <r>
      <t xml:space="preserve">Монтаж </t>
    </r>
    <r>
      <rPr>
        <b/>
        <sz val="10"/>
        <color indexed="8"/>
        <rFont val="Verdana"/>
        <family val="2"/>
        <charset val="204"/>
      </rPr>
      <t xml:space="preserve">світильників - 75шт. 
</t>
    </r>
    <r>
      <rPr>
        <sz val="10"/>
        <color indexed="8"/>
        <rFont val="Verdana"/>
        <family val="2"/>
        <charset val="204"/>
      </rPr>
      <t>poland 2*40 -</t>
    </r>
    <r>
      <rPr>
        <b/>
        <sz val="10"/>
        <color rgb="FF000000"/>
        <rFont val="Verdana"/>
        <family val="2"/>
        <charset val="204"/>
      </rPr>
      <t>30</t>
    </r>
    <r>
      <rPr>
        <b/>
        <sz val="10"/>
        <color indexed="8"/>
        <rFont val="Verdana"/>
        <family val="2"/>
        <charset val="204"/>
      </rPr>
      <t>шт</t>
    </r>
    <r>
      <rPr>
        <sz val="10"/>
        <color indexed="8"/>
        <rFont val="Verdana"/>
        <family val="2"/>
        <charset val="204"/>
      </rPr>
      <t>, люстра -</t>
    </r>
    <r>
      <rPr>
        <b/>
        <sz val="10"/>
        <color indexed="8"/>
        <rFont val="Verdana"/>
        <family val="2"/>
        <charset val="204"/>
      </rPr>
      <t>6шт</t>
    </r>
    <r>
      <rPr>
        <sz val="10"/>
        <color indexed="8"/>
        <rFont val="Verdana"/>
        <family val="2"/>
        <charset val="204"/>
      </rPr>
      <t>, з акумулятором -</t>
    </r>
    <r>
      <rPr>
        <b/>
        <sz val="10"/>
        <color indexed="8"/>
        <rFont val="Verdana"/>
        <family val="2"/>
        <charset val="204"/>
      </rPr>
      <t>4шт</t>
    </r>
    <r>
      <rPr>
        <sz val="10"/>
        <color indexed="8"/>
        <rFont val="Verdana"/>
        <family val="2"/>
        <charset val="204"/>
      </rPr>
      <t>, підсвітка ніш -</t>
    </r>
    <r>
      <rPr>
        <b/>
        <sz val="10"/>
        <color indexed="8"/>
        <rFont val="Verdana"/>
        <family val="2"/>
        <charset val="204"/>
      </rPr>
      <t xml:space="preserve">11шт, </t>
    </r>
    <r>
      <rPr>
        <sz val="10"/>
        <color indexed="8"/>
        <rFont val="Verdana"/>
        <family val="2"/>
        <charset val="204"/>
      </rPr>
      <t>Панель світлодіодна LED Panel 600x600 32W 4000K 220V WT -</t>
    </r>
    <r>
      <rPr>
        <b/>
        <sz val="10"/>
        <color rgb="FF000000"/>
        <rFont val="Verdana"/>
        <family val="2"/>
        <charset val="204"/>
      </rPr>
      <t>3</t>
    </r>
    <r>
      <rPr>
        <b/>
        <sz val="10"/>
        <color indexed="8"/>
        <rFont val="Verdana"/>
        <family val="2"/>
        <charset val="204"/>
      </rPr>
      <t xml:space="preserve">шт, </t>
    </r>
    <r>
      <rPr>
        <sz val="10"/>
        <color indexed="8"/>
        <rFont val="Verdana"/>
        <family val="2"/>
        <charset val="204"/>
      </rPr>
      <t xml:space="preserve">СЕТО PL-12 </t>
    </r>
    <r>
      <rPr>
        <b/>
        <sz val="10"/>
        <color indexed="8"/>
        <rFont val="Verdana"/>
        <family val="2"/>
        <charset val="204"/>
      </rPr>
      <t>-7шт,</t>
    </r>
    <r>
      <rPr>
        <sz val="10"/>
        <color indexed="8"/>
        <rFont val="Verdana"/>
        <family val="2"/>
        <charset val="204"/>
      </rPr>
      <t xml:space="preserve"> LCL 24W 3000K S WH (туалет відвідувачів) -</t>
    </r>
    <r>
      <rPr>
        <b/>
        <sz val="10"/>
        <color indexed="8"/>
        <rFont val="Verdana"/>
        <family val="2"/>
        <charset val="204"/>
      </rPr>
      <t xml:space="preserve">6шт, </t>
    </r>
    <r>
      <rPr>
        <sz val="10"/>
        <color indexed="8"/>
        <rFont val="Verdana"/>
        <family val="2"/>
        <charset val="204"/>
      </rPr>
      <t>2H LED 20w зовнішній -</t>
    </r>
    <r>
      <rPr>
        <b/>
        <sz val="10"/>
        <color indexed="8"/>
        <rFont val="Verdana"/>
        <family val="2"/>
        <charset val="204"/>
      </rPr>
      <t xml:space="preserve">3шт, </t>
    </r>
    <r>
      <rPr>
        <sz val="10"/>
        <color rgb="FF000000"/>
        <rFont val="Verdana"/>
        <family val="2"/>
        <charset val="204"/>
      </rPr>
      <t>лінійні</t>
    </r>
    <r>
      <rPr>
        <b/>
        <sz val="10"/>
        <color indexed="8"/>
        <rFont val="Verdana"/>
        <family val="2"/>
        <charset val="204"/>
      </rPr>
      <t xml:space="preserve"> -5шт</t>
    </r>
  </si>
  <si>
    <t>світильник зовнішний</t>
  </si>
  <si>
    <t>Влаштування фундаментів під знаки в'їзд-виїзд, схема руху, та два світильники підсвітки стелли -1компл. (земляні роботи, влаштування фундаментів, елементів кріплення, встановлення в проектне положення)</t>
  </si>
  <si>
    <t xml:space="preserve">кількість -7шт +1 в залі 1м*1,5м </t>
  </si>
  <si>
    <t xml:space="preserve">кількість острівків -1шт
периметр 39мп </t>
  </si>
  <si>
    <r>
      <t xml:space="preserve">кількість острівків ПРК - 2шт. 
обєм бетону -8,4м3
(вартість плитки 35м2 враховано в </t>
    </r>
    <r>
      <rPr>
        <sz val="10"/>
        <color indexed="10"/>
        <rFont val="Verdana"/>
        <family val="2"/>
        <charset val="204"/>
      </rPr>
      <t>п.10.1.2</t>
    </r>
    <r>
      <rPr>
        <sz val="10"/>
        <rFont val="Verdana"/>
        <family val="2"/>
        <charset val="204"/>
      </rPr>
      <t>)</t>
    </r>
  </si>
  <si>
    <t>огорожа 1,53м - 130м.п.  
Включено огородження ДГ та ТП. Тип  Betafence В довжину огорожі включена вартість 2х хвірток шириною 700мм.</t>
  </si>
  <si>
    <t xml:space="preserve">площа покриття - 420м2 </t>
  </si>
  <si>
    <t>ФЕМ "ЦЕГЛА" 6см ПОКРИТТЯ АЗС ДОРІЖКИ 
(тип-2) t=31см</t>
  </si>
  <si>
    <t>ФЕМ "ГАНТЕЛЬ" 8см ПОКРИТТЯ АЗС (тип-1) t=65см</t>
  </si>
  <si>
    <t>площа покриття - 100м2</t>
  </si>
  <si>
    <t>ФЕМ "ГАНТЕЛЬ" 8см ПОКРИТТЯ АЗС (тип-1*) t=65см (при потребі)</t>
  </si>
  <si>
    <t>площа покриття - 745м2</t>
  </si>
  <si>
    <t xml:space="preserve">довжина фрезерування - 460 м.п. Ширина фрезерування - 1,0м.
</t>
  </si>
  <si>
    <t xml:space="preserve">площа покриття - 650м2
</t>
  </si>
  <si>
    <t>Влаштування асфальтобетонного покриття АСГ.Кр.П.А.НП.І.БНД 90/130-ДСТУ Б В.2.7.-119-2011. Асфальтобетон 6см.</t>
  </si>
  <si>
    <t>Влаштування асфальтобетонного покриття АСГ.Др.Щ.А.НП.І.БНД 60/90-ДСТУ Б В.2.7.-119-2011. Асфальтобетон 5см.</t>
  </si>
  <si>
    <t>площа покриття - 190м2</t>
  </si>
  <si>
    <t>Завезення чорнозему, площа 350м2 товщина 50мм.
Посів трави</t>
  </si>
  <si>
    <t>площа озеленення -250м2
використовується грунт, існує та розпланований на будівельному майданчику.</t>
  </si>
  <si>
    <t>Планування майданчику, переміщення грунту до 50м. механізовано бульдозером (вирівнювання території із засипанням ям). Видалення будівельного сміття. Площа ділянки що планується - 100м2.</t>
  </si>
  <si>
    <r>
      <t xml:space="preserve">Зняття грунту під проїзди </t>
    </r>
    <r>
      <rPr>
        <b/>
        <sz val="10"/>
        <rFont val="Verdana"/>
        <family val="2"/>
        <charset val="204"/>
      </rPr>
      <t>-561м3.</t>
    </r>
    <r>
      <rPr>
        <sz val="10"/>
        <color indexed="10"/>
        <rFont val="Verdana"/>
        <family val="2"/>
        <charset val="204"/>
      </rPr>
      <t xml:space="preserve">    </t>
    </r>
    <r>
      <rPr>
        <sz val="10"/>
        <rFont val="Verdana"/>
        <family val="2"/>
        <charset val="204"/>
      </rPr>
      <t xml:space="preserve">                       </t>
    </r>
  </si>
  <si>
    <r>
      <t>Підсипка витісненим грунтом.
Об'єм насипу під проїзджу частину становить - 70</t>
    </r>
    <r>
      <rPr>
        <b/>
        <sz val="10"/>
        <rFont val="Verdana"/>
        <family val="2"/>
        <charset val="204"/>
      </rPr>
      <t>м3</t>
    </r>
    <r>
      <rPr>
        <b/>
        <sz val="10"/>
        <color indexed="10"/>
        <rFont val="Verdana"/>
        <family val="2"/>
        <charset val="204"/>
      </rPr>
      <t xml:space="preserve"> </t>
    </r>
  </si>
  <si>
    <t>Загальна площа планування 935м2. Тільки в місцях проїздів.</t>
  </si>
  <si>
    <t>Об'єм грунту під вивезення  - 688м3 +коеф. розпуення  1,25</t>
  </si>
  <si>
    <t>кількість - 1комплект (будівлі оераторної та АГЗП). Всі осі закріпляються металевими кілками та виконуються виноски.</t>
  </si>
  <si>
    <t xml:space="preserve">загальна довжина огорожі з воротами - 150м.п </t>
  </si>
  <si>
    <t xml:space="preserve">Демонтаж опори освітлення -3шт. (від'єднання кабелів та металевої опори від фундаменту, демонтаж опори, демонтаж світильника) </t>
  </si>
  <si>
    <t>Пониження чи підіймання рівня колодязів при реконструкції дорожнього покриття</t>
  </si>
  <si>
    <r>
      <rPr>
        <u/>
        <sz val="10"/>
        <color rgb="FF000000"/>
        <rFont val="Verdana"/>
        <family val="2"/>
        <charset val="204"/>
      </rPr>
      <t>Пониження</t>
    </r>
    <r>
      <rPr>
        <sz val="10"/>
        <color indexed="8"/>
        <rFont val="Verdana"/>
        <family val="2"/>
        <charset val="204"/>
      </rPr>
      <t xml:space="preserve">: демонтаж люка, демонтаж обойми, демонтаж ФЕМ, демонтаж з/б плити, підрізання верхнього з/б кільця, повторний монтаж плити, ФЕМ, обойми, люка.
</t>
    </r>
    <r>
      <rPr>
        <u/>
        <sz val="10"/>
        <color rgb="FF000000"/>
        <rFont val="Verdana"/>
        <family val="2"/>
        <charset val="204"/>
      </rPr>
      <t>Підіймання</t>
    </r>
    <r>
      <rPr>
        <sz val="10"/>
        <color indexed="8"/>
        <rFont val="Verdana"/>
        <family val="2"/>
        <charset val="204"/>
      </rPr>
      <t>: демонтаж  люка, демонтаж обойми, домуровування ФЕМ, повторний монтаж обойми, люка.</t>
    </r>
  </si>
  <si>
    <t>Демонтаж бетону з навантаженням на автомобіль</t>
  </si>
  <si>
    <t xml:space="preserve">Демонтаж покриття з ФЕМ
(враховане чищення та складування ФЕМ) </t>
  </si>
  <si>
    <t>Демонтаж ФЕМ6+ФЕМ8 -210+450 м2 
Для повторного використання (чищення та складування)</t>
  </si>
  <si>
    <t>1.2.1</t>
  </si>
  <si>
    <r>
      <t xml:space="preserve">Демонтаж внутрішніх дверей та вікон
</t>
    </r>
    <r>
      <rPr>
        <sz val="10"/>
        <color indexed="8"/>
        <rFont val="Verdana"/>
        <family val="2"/>
        <charset val="204"/>
      </rPr>
      <t xml:space="preserve">(зі збереженням матеріалів)(акт прийому-передачі)
</t>
    </r>
  </si>
  <si>
    <t>1.2.9</t>
  </si>
  <si>
    <t>Демонтаж вентиляційного обладнання</t>
  </si>
  <si>
    <t>Без збереження</t>
  </si>
  <si>
    <t xml:space="preserve"> м3</t>
  </si>
  <si>
    <t>Демонтаж сантехфаянсу</t>
  </si>
  <si>
    <r>
      <t xml:space="preserve">Демонтаж світильників
</t>
    </r>
    <r>
      <rPr>
        <b/>
        <i/>
        <sz val="10"/>
        <color indexed="8"/>
        <rFont val="Verdana"/>
        <family val="2"/>
        <charset val="204"/>
      </rPr>
      <t>(зі збереженням матеріалів)</t>
    </r>
    <r>
      <rPr>
        <sz val="10"/>
        <color indexed="8"/>
        <rFont val="Verdana"/>
        <family val="2"/>
        <charset val="204"/>
      </rPr>
      <t xml:space="preserve"> 
(акт прийому - передачі)</t>
    </r>
  </si>
  <si>
    <t xml:space="preserve"> м2</t>
  </si>
  <si>
    <t>Демонтаж навісних стелажів та рекламних елементів</t>
  </si>
  <si>
    <t>Очистка металоконструкцій від іржі механізованим способом та хімічним. Включає подальше фарбування</t>
  </si>
  <si>
    <t>м/кв</t>
  </si>
  <si>
    <t>ДЕМОНТАЖНІ РОБОТИ майданчикові</t>
  </si>
  <si>
    <r>
      <t xml:space="preserve">Демонтаж в окремих місцях щебеневої підсипки.
</t>
    </r>
    <r>
      <rPr>
        <b/>
        <sz val="10"/>
        <rFont val="Verdana"/>
        <family val="2"/>
        <charset val="204"/>
      </rPr>
      <t>Навантажування, переміщення по обєкту- 50м.</t>
    </r>
  </si>
  <si>
    <t>Площа демонтажу -190+210м2
Товщина 400-500мм</t>
  </si>
  <si>
    <t>Механізований демонтаж бетонного покриття, завантаження, вивезення та утилізація. Площа демонтажу - 210м2</t>
  </si>
  <si>
    <t>1.2.2</t>
  </si>
  <si>
    <t>1.2.3</t>
  </si>
  <si>
    <t>1.2.4</t>
  </si>
  <si>
    <t>1.2.5</t>
  </si>
  <si>
    <t>1.2.6</t>
  </si>
  <si>
    <t>1.2.7</t>
  </si>
  <si>
    <t>1.2.8</t>
  </si>
  <si>
    <t>1.3.1</t>
  </si>
  <si>
    <t>1.3.2</t>
  </si>
  <si>
    <t>1.3.3</t>
  </si>
  <si>
    <t>1.3.4</t>
  </si>
  <si>
    <t>1.3.5</t>
  </si>
  <si>
    <t>1.3.6</t>
  </si>
  <si>
    <t>1.3.7</t>
  </si>
  <si>
    <t>1.3.8</t>
  </si>
  <si>
    <t>1.3.9</t>
  </si>
  <si>
    <t>1.3.10</t>
  </si>
  <si>
    <t>1.3.11</t>
  </si>
  <si>
    <t>1.3.12</t>
  </si>
  <si>
    <t>1.3.13</t>
  </si>
  <si>
    <t>1.3.14</t>
  </si>
  <si>
    <t>1.3.15</t>
  </si>
  <si>
    <t>1.3.16</t>
  </si>
  <si>
    <t>1.3.17</t>
  </si>
  <si>
    <t>1.3.18</t>
  </si>
  <si>
    <r>
      <t>кількість стрічки 40Х4 - 6</t>
    </r>
    <r>
      <rPr>
        <b/>
        <sz val="10"/>
        <rFont val="Verdana"/>
        <family val="2"/>
        <charset val="204"/>
      </rPr>
      <t>0м.п.</t>
    </r>
  </si>
  <si>
    <t>1.3.19</t>
  </si>
  <si>
    <r>
      <t xml:space="preserve">обєм засипки - </t>
    </r>
    <r>
      <rPr>
        <b/>
        <sz val="10"/>
        <rFont val="Verdana"/>
        <family val="2"/>
        <charset val="204"/>
      </rPr>
      <t>104м3</t>
    </r>
    <r>
      <rPr>
        <sz val="10"/>
        <rFont val="Verdana"/>
        <family val="2"/>
        <charset val="204"/>
      </rPr>
      <t xml:space="preserve"> (з них новий матеріал пісок - 20м3 та грунт, що існує). В розцінці матеріалу враховано коеф. ущільнення піску 1,1 </t>
    </r>
  </si>
  <si>
    <t xml:space="preserve">ПРК: ВВГ 3*1,5 -60мп (30х2)       
КВВГ 7*1 -60мп (60х2)
ВВГ 4*2,5 -60мп (60х2)
ВВГ 5*6 - 10м.п.
ПВХ футл.Ø50мм -200мп ПРК  (навіс +на гучномовний зв'язок, включно для освітлення навісу та між приямками ПРК по одному футляру та між резервуарами або ПРК) Запінювання футлярів зі сторони приямків резервуарів та герметизація кабалкою та бітумною мастикою ззовні.
металорукав -100м.п. Пісок -10м3                 </t>
  </si>
  <si>
    <t>5міс*15люд*170год=15300</t>
  </si>
  <si>
    <t>Топографо-геодезична зйомка АЗК.  Оцінюються ризики та матеріальні видатки</t>
  </si>
  <si>
    <t xml:space="preserve">Відрядження та проживання генпідрядника </t>
  </si>
  <si>
    <r>
      <t>Механізований демонтаж асфальтобетонного покриття з основою,</t>
    </r>
    <r>
      <rPr>
        <sz val="10"/>
        <color rgb="FFFF3300"/>
        <rFont val="Verdana"/>
        <family val="2"/>
        <charset val="204"/>
      </rPr>
      <t xml:space="preserve"> завантаження, вивезення та утилізація. Площа демонтажу - 350м2</t>
    </r>
  </si>
  <si>
    <r>
      <t>Демонтаж бордюрів з бетоном та основою навколо операторної,</t>
    </r>
    <r>
      <rPr>
        <sz val="10"/>
        <color rgb="FFFF3300"/>
        <rFont val="Verdana"/>
        <family val="2"/>
        <charset val="204"/>
      </rPr>
      <t xml:space="preserve"> завантаження, вивезення та утилізація-190м/п</t>
    </r>
  </si>
  <si>
    <t>Остаточна зачистка резервуарного парку перед зливом палива</t>
  </si>
  <si>
    <t>Остаточна зачистка резервуарного парку перед калібровкою</t>
  </si>
  <si>
    <t>Калібрування резервуарного парку. Заповнення водою 35м3 (найбільша секція резервуару).</t>
  </si>
  <si>
    <t>Демонтаж та монтаж технологічних люків з трубопроводами до та після проведення калібровочних робіт</t>
  </si>
  <si>
    <r>
      <t>Загальнобудівельні роботи</t>
    </r>
    <r>
      <rPr>
        <sz val="10"/>
        <rFont val="Arial Cyr"/>
        <charset val="204"/>
      </rPr>
      <t xml:space="preserve"> при монтажі </t>
    </r>
    <r>
      <rPr>
        <u/>
        <sz val="10"/>
        <rFont val="Arial Cyr"/>
        <charset val="204"/>
      </rPr>
      <t>резервуарного парку та ПРК</t>
    </r>
    <r>
      <rPr>
        <sz val="10"/>
        <rFont val="Arial Cyr"/>
        <charset val="204"/>
      </rPr>
      <t xml:space="preserve"> (заземлення горизонтальне та вертикальне по 4 мп). Приєднання до контуру операторної та  стовпчика заземлення.</t>
    </r>
  </si>
  <si>
    <r>
      <t xml:space="preserve">кількість стрічки 40Х4 - </t>
    </r>
    <r>
      <rPr>
        <b/>
        <sz val="10"/>
        <rFont val="Verdana"/>
        <family val="2"/>
        <charset val="204"/>
      </rPr>
      <t>38м.п.</t>
    </r>
    <r>
      <rPr>
        <sz val="10"/>
        <rFont val="Verdana"/>
        <family val="2"/>
        <charset val="204"/>
      </rPr>
      <t xml:space="preserve">
електроди вертик кутник 50Х5 довж. 2,5м.-4 шт.</t>
    </r>
  </si>
  <si>
    <t>Сендвіч панелі 120мм, RAL 7024 зовнішній 9002 - внутрішній, пінополіуретан  (скритий монтаж)  Влаштування віконних та дверних прорізей з обрамленням декоративними планками з вальцюванням шириною на фасаді -100мм. Монтаж спец. планок товщиною 0,55мм; z-подібна із вальцюванням  Всі кріпильні елементи, герметики, монтажна піна включені в складову матеріалів.</t>
  </si>
  <si>
    <t>Покриття Парапетів операторної оцинкованим листом. Кріпильні елементи включені в розцінку.</t>
  </si>
  <si>
    <t>Площа покрівлі - 50 м2     Лист оцинкований Підрізання, підгонка  входить в розцінку.</t>
  </si>
  <si>
    <t>Щит електричний на 24 модулі з автоматичними вимикачами та ПЗВ</t>
  </si>
  <si>
    <t>Автомати ЕАТОN або Schneider Electric
Виготовлення, підключення, монтаж</t>
  </si>
  <si>
    <t xml:space="preserve">Реконструкція та підсилення навісу після проведення демонтажних робіт. Влаштування зв'язків - 0,25т.
</t>
  </si>
  <si>
    <t>Монтаж навісу(монтаж, фарбування пошкоджених місць металоконструкцій)</t>
  </si>
  <si>
    <t>Виготовлення, складення необхідних розрахунків.</t>
  </si>
  <si>
    <t>ДЕМОНТАЖНІ РОБОТИ операторної під ключ ПІДСИЛЕННЯ КОНСТРУКЦІЙ</t>
  </si>
  <si>
    <t>Демонтаж:
-Бетонні конструкції, фундаменти -61м3 Комплекс робіт.</t>
  </si>
  <si>
    <r>
      <t xml:space="preserve">Щиток, решітки, вентилятори, кондиціонери) Комплекс робіт.
Зі збереженням. </t>
    </r>
    <r>
      <rPr>
        <sz val="10"/>
        <color rgb="FFFF3300"/>
        <rFont val="Verdana"/>
        <family val="2"/>
        <charset val="204"/>
      </rPr>
      <t>(передача по акту експлуатуючій організації)</t>
    </r>
    <r>
      <rPr>
        <sz val="10"/>
        <color indexed="8"/>
        <rFont val="Verdana"/>
        <family val="2"/>
        <charset val="204"/>
      </rPr>
      <t>.</t>
    </r>
  </si>
  <si>
    <t>Демонтаж:
конструкції з/б перекриття -120м2. Комплекс робіт.</t>
  </si>
  <si>
    <t xml:space="preserve">в т. ч. проводка. Комплекс робіт. </t>
  </si>
  <si>
    <t>Без збереження матеріалів, Переміщення у відвал.
Включає демонтах існуючих інженерни х мереж, клею та плінтусу. Комплекс робіт.</t>
  </si>
  <si>
    <t>S демонтажу стель - 30м2
В розцінку включено перенесення будівел. сміття 
( Збереження матеріалу не менше 30% від загального обєму).Комплекс робіт.</t>
  </si>
  <si>
    <t>Очистка іржі щітками металевими, нанесення перетворювача іржі, Грунтування та фарбування поверхні металоконструкцій перехідного навісу. Комплекс робіт.</t>
  </si>
  <si>
    <t>Без збереження матеріалів Переміщення у відвал. Комплекс робіт.</t>
  </si>
  <si>
    <t>Демонтаж обшивки операторної з профлиста Комплекс робіт.</t>
  </si>
  <si>
    <t>Демонтаж покрівлі операторної в комплексі з утеплювачем та підкоеструкціями. Комплекс робіт.</t>
  </si>
  <si>
    <t>включає завантаження, вивезення та утилізацію металоконструкцій. Комплекс робіт.</t>
  </si>
  <si>
    <r>
      <t xml:space="preserve">Кількість дверей - 29шт.
Відбивання штукатурки в укосах. Знімання дверних коробок.
</t>
    </r>
    <r>
      <rPr>
        <sz val="10"/>
        <color rgb="FFFF3300"/>
        <rFont val="Verdana"/>
        <family val="2"/>
        <charset val="204"/>
      </rPr>
      <t>(Зворотній матеріал)</t>
    </r>
    <r>
      <rPr>
        <sz val="10"/>
        <color indexed="8"/>
        <rFont val="Verdana"/>
        <family val="2"/>
        <charset val="204"/>
      </rPr>
      <t xml:space="preserve"> Комплекс робіт.</t>
    </r>
  </si>
  <si>
    <t>Демонтаж повітропроводів вентиляційних. В розцінку включено вивезення демонтованих матеріалів з утилізацією.</t>
  </si>
  <si>
    <t>Демонтаж стяжки ц/п. В розцінку включено вивезення демонтованих матеріалів з утилізацією.</t>
  </si>
  <si>
    <t>Демонтаж стяжки, товщина до 10см.  Комплекс робіт.</t>
  </si>
  <si>
    <t>Демонтаж бетонних та залізобетонних конструкцій фундаментів, що існують.
В розцінку включено вивезення демонтованих матеріалів з утилізацією.</t>
  </si>
  <si>
    <t>Демонтаж залізобетонних конструкцій перекриття, що існують.
В розцінку включено вивезення демонтованих матеріалів з утилізацією.</t>
  </si>
  <si>
    <t>Демонтаж водопровідних труб. В розцінку включено вивезення демонтованих матеріалів з утилізацією.</t>
  </si>
  <si>
    <t>Φ 16 -32 мм.  Комплекс робіт.</t>
  </si>
  <si>
    <t>Демонтаж каналізаційних труб. В розцінку включено вивезення демонтованих матеріалів з утилізацією.</t>
  </si>
  <si>
    <t>Φ 50 -160 мм.  Комплекс робіт.</t>
  </si>
  <si>
    <r>
      <t>З збереженням матеріалів
Умивальники, півноги, інсталяція, унітаз, столешня, змішувачі, сифони, душ. Кабіна, пісюар. Комплекс робіт. (</t>
    </r>
    <r>
      <rPr>
        <sz val="10"/>
        <color rgb="FFFF3300"/>
        <rFont val="Verdana"/>
        <family val="2"/>
        <charset val="204"/>
      </rPr>
      <t>передача по акту експлуатуючій організації)</t>
    </r>
  </si>
  <si>
    <t>Демонтаж розеток, вимикачів, розподільчих коробок.  В розцінку включено вивезення демонтованих матеріалів з утилізацією.</t>
  </si>
  <si>
    <r>
      <t xml:space="preserve">Демонтаж освітлення:
Свтильників - 25шт. Комплекс робіт. </t>
    </r>
    <r>
      <rPr>
        <sz val="10"/>
        <color rgb="FFFF3300"/>
        <rFont val="Verdana"/>
        <family val="2"/>
        <charset val="204"/>
      </rPr>
      <t>(передача по акту експлуатуючій організації)</t>
    </r>
  </si>
  <si>
    <t>Демонтаж плитки стін та підлоги (в т.ч плінтус). В розцінку включено вивезення демонтованих матеріалів з утилізацією.</t>
  </si>
  <si>
    <t xml:space="preserve">Демонтаж стелі підшивної
(гіпсокартон,амстронг, металева підшивка)  В розцінку включено вивезення демонтованих матеріалів з утилізацією.
</t>
  </si>
  <si>
    <r>
      <t xml:space="preserve">Зі збереженням матеріалів. Комплекс робіт. </t>
    </r>
    <r>
      <rPr>
        <sz val="10"/>
        <color rgb="FFFF3300"/>
        <rFont val="Verdana"/>
        <family val="2"/>
        <charset val="204"/>
      </rPr>
      <t>(передача по акту експлуатуючій організації)</t>
    </r>
  </si>
  <si>
    <t>Демонтаж цегляних та шлакобетонних  перегородок
t = 100 - 180мм.  В розцінку включено вивезення демонтованих матеріалів з утилізацією.</t>
  </si>
  <si>
    <t>Демонтаж обшивки операторної з профлиста  В розцінку включено вивезення демонтованих матеріалів з утилізацією.</t>
  </si>
  <si>
    <t>Демонтаж металоконструкцій операторної та навісу  В розцінку включено вивезення демонтованих матеріалів з утилізацією.</t>
  </si>
  <si>
    <r>
      <t xml:space="preserve">Демонтаж опори зовнішнього освітлення </t>
    </r>
    <r>
      <rPr>
        <sz val="10"/>
        <color rgb="FFFF3300"/>
        <rFont val="Verdana"/>
        <family val="2"/>
        <charset val="204"/>
      </rPr>
      <t>(передача по акту експлуатуючій організації).</t>
    </r>
  </si>
  <si>
    <t>Демонтаж острівків ПРК з обрамленням.  В розцінку включено вивезення демонтованих матеріалів з утилізацією.</t>
  </si>
  <si>
    <t>Демонтаж поребрика.  В розцінку включено вивезення демонтованих матеріалів з утилізацією.</t>
  </si>
  <si>
    <t>Демонтаж бордюрів та бортових каменів навколо операторної (без збереження матеріалів). Дефектний акт.  В розцінку включено вивезення демонтованих матеріалів з утилізацією.</t>
  </si>
  <si>
    <t>Механізований демонтаж бетонного покриття товщиною 200мм і більше.  В розцінку включено вивезення демонтованих матеріалів з утилізацією.</t>
  </si>
  <si>
    <r>
      <t xml:space="preserve">кількість стрічки 40Х4 - </t>
    </r>
    <r>
      <rPr>
        <b/>
        <sz val="10"/>
        <rFont val="Verdana"/>
        <family val="2"/>
        <charset val="204"/>
      </rPr>
      <t>90м.п.</t>
    </r>
    <r>
      <rPr>
        <sz val="10"/>
        <rFont val="Verdana"/>
        <family val="2"/>
        <charset val="204"/>
      </rPr>
      <t xml:space="preserve">
електроди вертик кутник 50Х5 довж. 2,5м.-6шт.</t>
    </r>
  </si>
  <si>
    <t xml:space="preserve">Бетон В15 -7,36 м3,              Бетон В7,5 -0,9 м3,               Анкера з гайками та каркаси - 420 кг.  </t>
  </si>
  <si>
    <r>
      <t>бордюри -2</t>
    </r>
    <r>
      <rPr>
        <b/>
        <sz val="10"/>
        <rFont val="Verdana"/>
        <family val="2"/>
        <charset val="204"/>
      </rPr>
      <t>90мп</t>
    </r>
    <r>
      <rPr>
        <sz val="10"/>
        <rFont val="Verdana"/>
        <family val="2"/>
        <charset val="204"/>
      </rPr>
      <t>. бетон 0,049м3/мп. Влаштування щебеневої основи під борюри -0,14м3 на 1 мп (ширина 0,45м висота 0,3)</t>
    </r>
  </si>
  <si>
    <r>
      <t>довжина поребриків -</t>
    </r>
    <r>
      <rPr>
        <b/>
        <sz val="10"/>
        <rFont val="Verdana"/>
        <family val="2"/>
        <charset val="204"/>
      </rPr>
      <t xml:space="preserve"> 130мп.</t>
    </r>
    <r>
      <rPr>
        <sz val="10"/>
        <rFont val="Verdana"/>
        <family val="2"/>
        <charset val="204"/>
      </rPr>
      <t xml:space="preserve">
бетон 0,039м3/м.п</t>
    </r>
  </si>
  <si>
    <t>Влаштування очисних споруд поверхневих стічних вод "ОАЗИС-oil-СН-Ц-4/20-Ц" (піщана основа, монтаж в проектне положення та під'єднання, піщана засипка)</t>
  </si>
  <si>
    <t>"ОАЗИС-oil-СН-Ц-4/20-Ц" -1шт
Обсипка піском -10м3
Монтаж очисних. Підключення, випробування пусконалагоджування.</t>
  </si>
  <si>
    <t>Труби ПВХ SN8: Ø200 -56м.п.
Ø89мм стальна -30м.п 
Колодязь Ø1,0м h=2,2м -1шт (компл. +хлопавка Ø80 +гідрозатвор)
Колодязі Ø1,0м висотою від 1,0м до 1,3м -1шт (компл.)
Для сепаратора колодязь Ø2,0м h=3,35м -1шт (комплект)
Люки важкі - 3шт
Встановлення драбин.
Гідроізоляція бітумом.
Пісок -16м3</t>
  </si>
  <si>
    <t>об'єм резервуарів - 100м3</t>
  </si>
  <si>
    <t>кількість люків - 4шт</t>
  </si>
  <si>
    <t>2.2.6</t>
  </si>
  <si>
    <t>2.2.7</t>
  </si>
  <si>
    <t>2.2.8</t>
  </si>
  <si>
    <t>2.2.9</t>
  </si>
  <si>
    <t>2.2.10</t>
  </si>
  <si>
    <t>3.2.7</t>
  </si>
  <si>
    <t>НАВІС над допоміжними будівлями</t>
  </si>
  <si>
    <t>Виємка грунту механізована до дна корита фундаментів</t>
  </si>
  <si>
    <r>
      <t xml:space="preserve">Виїмка грунту - 6,4м3 
Переміщення по майданчику.
</t>
    </r>
    <r>
      <rPr>
        <sz val="10"/>
        <color rgb="FFFF0000"/>
        <rFont val="Verdana"/>
        <family val="2"/>
        <charset val="204"/>
      </rPr>
      <t>Зайвий грунт -  6,4м3</t>
    </r>
  </si>
  <si>
    <t>Роботи нульового циклу (улаштування, всього монолітного з/б фундаменту, закладні, арматурна сітка та каркаси, бетонування)</t>
  </si>
  <si>
    <t>З/б фундаменти -бетон С12/15 -6,4м3, ЗД -35,2кг
 всі інші розхідники.</t>
  </si>
  <si>
    <t>3.6</t>
  </si>
  <si>
    <t>3.6.1</t>
  </si>
  <si>
    <t>3.6.2</t>
  </si>
  <si>
    <t>3.6.3</t>
  </si>
  <si>
    <t>3.6.4</t>
  </si>
  <si>
    <t>3.6.5</t>
  </si>
  <si>
    <t>Металквий каркас (виготовлення та монтаж + пофарбування)</t>
  </si>
  <si>
    <r>
      <t>Колони: К-1÷К-7; Кф-1÷Кф-5; Ст-1 (грунтування, фарбування RAL 7024)
Маса загальна -</t>
    </r>
    <r>
      <rPr>
        <b/>
        <sz val="10"/>
        <rFont val="Verdana"/>
        <family val="2"/>
        <charset val="204"/>
      </rPr>
      <t>1,795т</t>
    </r>
    <r>
      <rPr>
        <sz val="10"/>
        <rFont val="Verdana"/>
        <family val="2"/>
        <charset val="204"/>
      </rPr>
      <t xml:space="preserve">;
Всього маса з врах. напл. металу, відходів та уточнення маси - </t>
    </r>
    <r>
      <rPr>
        <b/>
        <sz val="10"/>
        <rFont val="Verdana"/>
        <family val="2"/>
        <charset val="204"/>
      </rPr>
      <t>1,867т</t>
    </r>
  </si>
  <si>
    <t>площа покриття - 59 м2 з врахуванням напуску.
профнастил  ПН-45 товщ. 0,7мм</t>
  </si>
  <si>
    <t>Покриття профлистом конструкції стін допоміжних приміщень ПН-20 товщ. 0,55мм</t>
  </si>
  <si>
    <t>Покриття профлистом ПН-45 товщ. 0,7мм покрівлі допоміжних приміщень</t>
  </si>
  <si>
    <t xml:space="preserve">площа покриття - 78 м2, 
профнастил  ПН-20 товщ. 0,55мм </t>
  </si>
  <si>
    <t>Найменування матеріалу</t>
  </si>
  <si>
    <t>Ціна за од. матеріалу, грн з ПДВ</t>
  </si>
  <si>
    <t>Вартість, грн
 з ПДВ</t>
  </si>
  <si>
    <t>2.3.1</t>
  </si>
  <si>
    <t>Опалубка, метизи, вязальний дріт, всі інші розхідники</t>
  </si>
  <si>
    <t>арматура+каркаси+ЗД</t>
  </si>
  <si>
    <t>арматурні каркаси</t>
  </si>
  <si>
    <t>бетон С16/20</t>
  </si>
  <si>
    <t>З/б фундаменти, набетонка колон, Фз-1:
-бетон С16/20 -42,0+2,2м3
-арматура+каркаси+ЗД -1220кг
Опалубка, метизи, вязальний дріт, всі інші розхідники.</t>
  </si>
  <si>
    <t>металева продукція</t>
  </si>
  <si>
    <t>інші матеріали</t>
  </si>
  <si>
    <r>
      <t xml:space="preserve">грунт  </t>
    </r>
    <r>
      <rPr>
        <sz val="10"/>
        <color rgb="FFFF0000"/>
        <rFont val="Arial Cyr"/>
        <charset val="204"/>
      </rPr>
      <t>(згідго проекту)</t>
    </r>
  </si>
  <si>
    <r>
      <t xml:space="preserve">фарба  </t>
    </r>
    <r>
      <rPr>
        <sz val="10"/>
        <color rgb="FFFF0000"/>
        <rFont val="Arial Cyr"/>
        <charset val="204"/>
      </rPr>
      <t>(згідго проекту)</t>
    </r>
  </si>
  <si>
    <r>
      <t xml:space="preserve">Покриття операторної сендвіч-панелями 
</t>
    </r>
    <r>
      <rPr>
        <b/>
        <sz val="10"/>
        <color indexed="8"/>
        <rFont val="Verdana"/>
        <family val="2"/>
        <charset val="204"/>
      </rPr>
      <t>190/150</t>
    </r>
    <r>
      <rPr>
        <sz val="10"/>
        <color indexed="8"/>
        <rFont val="Verdana"/>
        <family val="2"/>
        <charset val="204"/>
      </rPr>
      <t xml:space="preserve"> 100 PIR (Кінгспан або український аналог). Вказати виробника Колір стелі RAL 7024; колір покрівлі - RAL 9006. Коефіцієнти перерозходу матеріалів враховані у матеріальній складовій розцінки. Замовлення за 60 днів до монтажу.</t>
    </r>
  </si>
  <si>
    <r>
      <t xml:space="preserve">Виготовлення та монтаж щитів </t>
    </r>
    <r>
      <rPr>
        <b/>
        <sz val="10"/>
        <rFont val="Verdana"/>
        <family val="2"/>
        <charset val="204"/>
      </rPr>
      <t xml:space="preserve">операторної </t>
    </r>
    <r>
      <rPr>
        <sz val="10"/>
        <rFont val="Verdana"/>
        <family val="2"/>
        <charset val="204"/>
      </rPr>
      <t>(ГРШ). Включено пусконалагоджувальні роботи. Підключення  щитів  UPS;  СКР; СВ; ПС; ОС. Щит ГРШ виконується у двостворчатій металевій шафі з внутрішнім обліком (лічильник електронний прямого включення)  Погодження схеми ГРШ перед виготовленням.</t>
    </r>
  </si>
  <si>
    <r>
      <t>Стіни зовнішні + парапети.</t>
    </r>
    <r>
      <rPr>
        <sz val="10"/>
        <color indexed="10"/>
        <rFont val="Arial Cyr"/>
        <charset val="204"/>
      </rPr>
      <t xml:space="preserve"> </t>
    </r>
    <r>
      <rPr>
        <sz val="10"/>
        <rFont val="Arial Cyr"/>
        <charset val="204"/>
      </rPr>
      <t>Площа панель обчислюється за виключенням отворів для вікон та дверей.  Кінгспан або український анало</t>
    </r>
  </si>
  <si>
    <t>Сендвіч панелі PIR-120мм</t>
  </si>
  <si>
    <t>коплектуючі, ущільнювачі, герметики, кріпильні …</t>
  </si>
  <si>
    <t>Сендвіч панелі PIR-190/150мм</t>
  </si>
  <si>
    <t>металокаркас</t>
  </si>
  <si>
    <t>гіпсокартон</t>
  </si>
  <si>
    <t>коплектуючі, мінвата 299м2</t>
  </si>
  <si>
    <t>перелік щитів ГРШ 1,6х2,2х0.35 - 1шт.; встановлення автоматики зовнішнього освітлення в ГРШ; вартість стабілізатора OPTIMUM - 7,5 кВт.</t>
  </si>
  <si>
    <t>щит ГРШ 1,6х2,2х0.35</t>
  </si>
  <si>
    <t>стабілізатор OPTIMUM -7,5 кВт</t>
  </si>
  <si>
    <t xml:space="preserve">електрокабелі </t>
  </si>
  <si>
    <t>ел. Установки, коробки</t>
  </si>
  <si>
    <t>гофротруба чорна</t>
  </si>
  <si>
    <t>Стійка 57 мм поцинковані</t>
  </si>
  <si>
    <t>Колодязь Ø1,0м висотою 1,0м +люк, драбина, ізоляція, розуклонка</t>
  </si>
  <si>
    <t>пісок</t>
  </si>
  <si>
    <t>труби ПВХ SN8 Ø160*4</t>
  </si>
  <si>
    <t>Заміна трубопроводів каналізаційних зовнішні ПВХ SN8 Ø160*4 -65мп. 
Колодязі Ø1,0м висотою 1,0м -4шт (компл.)
люки: важкі -4шт,
Встановлення драбин. 
Гідроізоляція бітумом.
Пісок -6м3 
Підключення до мережі, що існує.</t>
  </si>
  <si>
    <t>труби ПВХ Ø110</t>
  </si>
  <si>
    <t>Колодязь Ø1,0м висотою від 1,0м до 1,3м +люк, драбина, ізоляція, розуклонка</t>
  </si>
  <si>
    <t>Колодязь Ø1,0м висотою 2,2м +люк, драбина, хлопавка, гідрозтвор, ізоляція, розуклонка</t>
  </si>
  <si>
    <t>колодязь Ø2,0м h=3,35м +люк, драбина, ізоляція, розуклонка</t>
  </si>
  <si>
    <t>Бордюри (основа з щебня, встановлення бортових каменів на бетон, оббетоновування, підрізання)</t>
  </si>
  <si>
    <r>
      <t xml:space="preserve">довжина лотків </t>
    </r>
    <r>
      <rPr>
        <b/>
        <sz val="10"/>
        <rFont val="Verdana"/>
        <family val="2"/>
        <charset val="204"/>
      </rPr>
      <t>MAXI 160 - 40мп</t>
    </r>
    <r>
      <rPr>
        <sz val="10"/>
        <rFont val="Verdana"/>
        <family val="2"/>
        <charset val="204"/>
      </rPr>
      <t xml:space="preserve"> (пісковловлювачі - 2шт -160мм) -входять в загальний метраж) Бетон -0,3м3/м.п.</t>
    </r>
  </si>
  <si>
    <t>бетон</t>
  </si>
  <si>
    <t>пісковловлювач MAXI 160</t>
  </si>
  <si>
    <t>лотки MAXI 160</t>
  </si>
  <si>
    <t>бордюри</t>
  </si>
  <si>
    <t>щебінь</t>
  </si>
  <si>
    <t>поставка замовника</t>
  </si>
  <si>
    <t>Ціна роботи за одиницю, грн з ПДВ</t>
  </si>
  <si>
    <t>Матаріальна складова на одиницю, грн з ПДВ</t>
  </si>
  <si>
    <t>Підрядник:</t>
  </si>
  <si>
    <t>Замовник:</t>
  </si>
  <si>
    <t>Складова інших витрат на одиницю, грн з ПДВ</t>
  </si>
  <si>
    <t>Вартість, грн з ПДВ</t>
  </si>
  <si>
    <t>Загальна вартість реконструкції АЗС з влаштуванням АГЗП за адресою: Закарпатська область м. Ужгород, вул. Підградська, 29, гривень з ПДВ</t>
  </si>
  <si>
    <t>Додаткова інформація від учасника:</t>
  </si>
  <si>
    <t>1. Аванс становить</t>
  </si>
  <si>
    <t>% (рекомендовано не більше 50%)</t>
  </si>
  <si>
    <t>2. Відтермінування кінцевої оплати після підписання акту прийому робіт</t>
  </si>
  <si>
    <t>років (рекомендовано не менше 3 років)</t>
  </si>
  <si>
    <t>ДОРОЖНЯ ЧАСТИНА АЗС влаштування асфальтобетонного покриття (тип-0) t=60см (при потребі)</t>
  </si>
  <si>
    <t>ПЛОЩАДКОВІ РОЗПОДІЛЬЧІ ЕЛЕКТРОМЕРЕЖІ (+заземлення +слабострумні мережі)</t>
  </si>
  <si>
    <t>труби ПВХ SN8: Ø200</t>
  </si>
  <si>
    <t>труби Ø89мм сталь</t>
  </si>
  <si>
    <t>5.4*</t>
  </si>
  <si>
    <t>9.8.1*</t>
  </si>
  <si>
    <t>3. Термін виконання робіт</t>
  </si>
  <si>
    <t>днів (рекомендовано не менше 10 календарних днів)</t>
  </si>
  <si>
    <t>*Клітинки лише такого кольору заповнюються підрядником</t>
  </si>
  <si>
    <t>в т.ч. Аркуші Сантехніка, Світлодіоди, Дор. Знаки, Пож. Інвентар</t>
  </si>
  <si>
    <t>4. Гарантійний термін на виконані роботи</t>
  </si>
  <si>
    <t>Відповідальність Підрядника
Окремий тендер 
Субпідрядника визначає замовник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</si>
</sst>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г_р_н_._-;\-* #,##0.00\ _г_р_н_._-;_-* &quot;-&quot;??\ _г_р_н_._-;_-@_-"/>
    <numFmt numFmtId="165" formatCode="0.0"/>
    <numFmt numFmtId="166" formatCode="0.000"/>
    <numFmt numFmtId="167" formatCode="#,##0.0"/>
  </numFmts>
  <fonts count="140">
    <font>
      <sz val="10"/>
      <name val="Arial Cyr"/>
      <charset val="204"/>
    </font>
    <font>
      <sz val="11"/>
      <color theme="1"/>
      <name val="Calibri"/>
      <family val="2"/>
      <charset val="204"/>
      <scheme val="minor"/>
    </font>
    <font>
      <sz val="8"/>
      <name val="Arial Cyr"/>
      <charset val="204"/>
    </font>
    <font>
      <u/>
      <sz val="10"/>
      <color indexed="12"/>
      <name val="Arial Cyr"/>
      <charset val="204"/>
    </font>
    <font>
      <sz val="10"/>
      <name val="Arial Cyr"/>
      <charset val="204"/>
    </font>
    <font>
      <sz val="10"/>
      <name val="Arial"/>
      <family val="2"/>
      <charset val="204"/>
    </font>
    <font>
      <b/>
      <sz val="12"/>
      <name val="Arial"/>
      <family val="2"/>
      <charset val="204"/>
    </font>
    <font>
      <b/>
      <sz val="10"/>
      <name val="Arial"/>
      <family val="2"/>
      <charset val="204"/>
    </font>
    <font>
      <sz val="10"/>
      <name val="Arial Cyr"/>
      <family val="2"/>
      <charset val="204"/>
    </font>
    <font>
      <b/>
      <sz val="12"/>
      <color indexed="10"/>
      <name val="Arial Cyr"/>
      <charset val="204"/>
    </font>
    <font>
      <b/>
      <sz val="11"/>
      <name val="Arial"/>
      <family val="2"/>
      <charset val="204"/>
    </font>
    <font>
      <sz val="8"/>
      <name val="Arial"/>
      <family val="2"/>
      <charset val="204"/>
    </font>
    <font>
      <b/>
      <sz val="11"/>
      <name val="Times New Roman"/>
      <family val="1"/>
      <charset val="204"/>
    </font>
    <font>
      <sz val="10"/>
      <name val="Arial"/>
      <family val="2"/>
    </font>
    <font>
      <b/>
      <u/>
      <sz val="10"/>
      <name val="Arial"/>
      <family val="2"/>
      <charset val="204"/>
    </font>
    <font>
      <sz val="6"/>
      <name val="Arial"/>
      <family val="2"/>
      <charset val="204"/>
    </font>
    <font>
      <sz val="9"/>
      <name val="Arial"/>
      <family val="2"/>
      <charset val="204"/>
    </font>
    <font>
      <b/>
      <sz val="9"/>
      <name val="Arial"/>
      <family val="2"/>
      <charset val="204"/>
    </font>
    <font>
      <sz val="11"/>
      <color indexed="8"/>
      <name val="Calibri"/>
      <family val="2"/>
    </font>
    <font>
      <sz val="9"/>
      <name val="Verdana"/>
      <family val="2"/>
      <charset val="204"/>
    </font>
    <font>
      <sz val="10"/>
      <name val="Verdana"/>
      <family val="2"/>
      <charset val="204"/>
    </font>
    <font>
      <i/>
      <sz val="11"/>
      <name val="Verdana"/>
      <family val="2"/>
      <charset val="204"/>
    </font>
    <font>
      <b/>
      <sz val="10"/>
      <color indexed="12"/>
      <name val="Verdana"/>
      <family val="2"/>
      <charset val="204"/>
    </font>
    <font>
      <sz val="11"/>
      <name val="Verdana"/>
      <family val="2"/>
      <charset val="204"/>
    </font>
    <font>
      <sz val="8"/>
      <name val="Verdana"/>
      <family val="2"/>
      <charset val="204"/>
    </font>
    <font>
      <sz val="8"/>
      <color indexed="10"/>
      <name val="Verdana"/>
      <family val="2"/>
      <charset val="204"/>
    </font>
    <font>
      <sz val="8"/>
      <color indexed="17"/>
      <name val="Verdana"/>
      <family val="2"/>
      <charset val="204"/>
    </font>
    <font>
      <b/>
      <sz val="9"/>
      <color indexed="8"/>
      <name val="Tahoma"/>
      <family val="2"/>
      <charset val="204"/>
    </font>
    <font>
      <sz val="9"/>
      <color indexed="8"/>
      <name val="Tahoma"/>
      <family val="2"/>
      <charset val="204"/>
    </font>
    <font>
      <b/>
      <sz val="11"/>
      <name val="Verdana"/>
      <family val="2"/>
      <charset val="204"/>
    </font>
    <font>
      <sz val="11"/>
      <color indexed="8"/>
      <name val="Verdana"/>
      <family val="2"/>
      <charset val="204"/>
    </font>
    <font>
      <b/>
      <sz val="11"/>
      <color indexed="8"/>
      <name val="Verdana"/>
      <family val="2"/>
      <charset val="204"/>
    </font>
    <font>
      <b/>
      <sz val="8"/>
      <color indexed="8"/>
      <name val="Tahoma"/>
      <family val="2"/>
      <charset val="204"/>
    </font>
    <font>
      <sz val="8"/>
      <color indexed="8"/>
      <name val="Tahoma"/>
      <family val="2"/>
      <charset val="204"/>
    </font>
    <font>
      <b/>
      <sz val="11"/>
      <color theme="0"/>
      <name val="Verdana"/>
      <family val="2"/>
      <charset val="204"/>
    </font>
    <font>
      <i/>
      <sz val="11"/>
      <color theme="0" tint="-0.14999847407452621"/>
      <name val="Verdana"/>
      <family val="2"/>
      <charset val="204"/>
    </font>
    <font>
      <b/>
      <i/>
      <sz val="11"/>
      <color theme="0" tint="-0.14999847407452621"/>
      <name val="Verdana"/>
      <family val="2"/>
      <charset val="204"/>
    </font>
    <font>
      <b/>
      <vertAlign val="superscript"/>
      <sz val="10"/>
      <name val="Verdana"/>
      <family val="2"/>
      <charset val="204"/>
    </font>
    <font>
      <sz val="11"/>
      <color theme="1"/>
      <name val="Calibri"/>
      <family val="2"/>
      <scheme val="minor"/>
    </font>
    <font>
      <b/>
      <sz val="10"/>
      <name val="Verdana"/>
      <family val="2"/>
      <charset val="204"/>
    </font>
    <font>
      <sz val="11"/>
      <color indexed="8"/>
      <name val="Calibri"/>
      <family val="2"/>
      <charset val="204"/>
    </font>
    <font>
      <sz val="10"/>
      <color indexed="8"/>
      <name val="Verdana"/>
      <family val="2"/>
      <charset val="204"/>
    </font>
    <font>
      <u/>
      <sz val="10"/>
      <color indexed="8"/>
      <name val="Verdana"/>
      <family val="2"/>
      <charset val="204"/>
    </font>
    <font>
      <b/>
      <sz val="10"/>
      <color indexed="8"/>
      <name val="Verdana"/>
      <family val="2"/>
      <charset val="204"/>
    </font>
    <font>
      <i/>
      <sz val="11"/>
      <color indexed="8"/>
      <name val="Verdana"/>
      <family val="2"/>
      <charset val="204"/>
    </font>
    <font>
      <b/>
      <sz val="14"/>
      <color indexed="8"/>
      <name val="Verdana"/>
      <family val="2"/>
      <charset val="204"/>
    </font>
    <font>
      <sz val="8"/>
      <color indexed="8"/>
      <name val="Verdana"/>
      <family val="2"/>
      <charset val="204"/>
    </font>
    <font>
      <b/>
      <sz val="12"/>
      <name val="Verdana"/>
      <family val="2"/>
      <charset val="1"/>
    </font>
    <font>
      <sz val="12"/>
      <name val="Verdana"/>
      <family val="2"/>
      <charset val="1"/>
    </font>
    <font>
      <b/>
      <i/>
      <sz val="12"/>
      <name val="Verdana"/>
      <family val="2"/>
      <charset val="1"/>
    </font>
    <font>
      <b/>
      <sz val="7"/>
      <name val="Verdana"/>
      <family val="2"/>
      <charset val="1"/>
    </font>
    <font>
      <sz val="12"/>
      <color indexed="8"/>
      <name val="Verdana"/>
      <family val="2"/>
      <charset val="1"/>
    </font>
    <font>
      <b/>
      <sz val="14"/>
      <name val="Verdana"/>
      <family val="2"/>
      <charset val="1"/>
    </font>
    <font>
      <sz val="11"/>
      <name val="Verdana"/>
      <family val="2"/>
      <charset val="1"/>
    </font>
    <font>
      <sz val="7"/>
      <name val="Verdana"/>
      <family val="2"/>
      <charset val="204"/>
    </font>
    <font>
      <sz val="12"/>
      <color indexed="9"/>
      <name val="Verdana"/>
      <family val="2"/>
      <charset val="1"/>
    </font>
    <font>
      <sz val="12"/>
      <color indexed="43"/>
      <name val="Verdana"/>
      <family val="2"/>
      <charset val="1"/>
    </font>
    <font>
      <b/>
      <sz val="9"/>
      <name val="Verdana"/>
      <family val="2"/>
      <charset val="204"/>
    </font>
    <font>
      <sz val="10"/>
      <name val="Arial"/>
      <family val="2"/>
      <charset val="1"/>
    </font>
    <font>
      <sz val="11"/>
      <color theme="1"/>
      <name val="Verdana"/>
      <family val="2"/>
      <charset val="204"/>
    </font>
    <font>
      <sz val="11"/>
      <color theme="0" tint="-0.14999847407452621"/>
      <name val="Verdana"/>
      <family val="2"/>
      <charset val="204"/>
    </font>
    <font>
      <b/>
      <i/>
      <sz val="14"/>
      <name val="Verdana"/>
      <family val="2"/>
      <charset val="204"/>
    </font>
    <font>
      <sz val="7"/>
      <color indexed="8"/>
      <name val="Verdana"/>
      <family val="2"/>
      <charset val="204"/>
    </font>
    <font>
      <sz val="7"/>
      <color rgb="FF00B050"/>
      <name val="Verdana"/>
      <family val="2"/>
      <charset val="204"/>
    </font>
    <font>
      <sz val="7"/>
      <color rgb="FFFF0000"/>
      <name val="Verdana"/>
      <family val="2"/>
      <charset val="204"/>
    </font>
    <font>
      <sz val="10"/>
      <color indexed="8"/>
      <name val="Arial"/>
      <family val="2"/>
      <charset val="204"/>
    </font>
    <font>
      <sz val="11"/>
      <color theme="1"/>
      <name val="Arial Cyr"/>
      <charset val="204"/>
    </font>
    <font>
      <sz val="10"/>
      <color theme="1"/>
      <name val="Arial Cyr"/>
      <charset val="204"/>
    </font>
    <font>
      <b/>
      <sz val="22"/>
      <name val="Verdana"/>
      <family val="2"/>
      <charset val="204"/>
    </font>
    <font>
      <sz val="9"/>
      <name val="Arial Cyr"/>
      <family val="2"/>
      <charset val="204"/>
    </font>
    <font>
      <sz val="10"/>
      <color indexed="10"/>
      <name val="Verdana"/>
      <family val="2"/>
      <charset val="204"/>
    </font>
    <font>
      <u/>
      <sz val="10"/>
      <name val="Verdana"/>
      <family val="2"/>
      <charset val="204"/>
    </font>
    <font>
      <vertAlign val="superscript"/>
      <sz val="10"/>
      <name val="Verdana"/>
      <family val="2"/>
      <charset val="204"/>
    </font>
    <font>
      <sz val="10"/>
      <color rgb="FFFF0000"/>
      <name val="Verdana"/>
      <family val="2"/>
      <charset val="204"/>
    </font>
    <font>
      <b/>
      <i/>
      <sz val="10"/>
      <name val="Verdana"/>
      <family val="2"/>
      <charset val="204"/>
    </font>
    <font>
      <b/>
      <sz val="10"/>
      <color indexed="10"/>
      <name val="Verdana"/>
      <family val="2"/>
      <charset val="204"/>
    </font>
    <font>
      <b/>
      <sz val="10"/>
      <color rgb="FF000000"/>
      <name val="Verdana"/>
      <family val="2"/>
      <charset val="204"/>
    </font>
    <font>
      <sz val="10"/>
      <color rgb="FF000000"/>
      <name val="Verdana"/>
      <family val="2"/>
      <charset val="204"/>
    </font>
    <font>
      <b/>
      <sz val="14"/>
      <name val="Arial"/>
      <family val="2"/>
      <charset val="204"/>
    </font>
    <font>
      <b/>
      <sz val="10"/>
      <name val="Arial"/>
      <family val="2"/>
      <charset val="204"/>
    </font>
    <font>
      <b/>
      <sz val="8"/>
      <name val="Arial"/>
      <family val="2"/>
      <charset val="204"/>
    </font>
    <font>
      <sz val="9.75"/>
      <color rgb="FF000000"/>
      <name val="Arial"/>
      <family val="2"/>
      <charset val="204"/>
    </font>
    <font>
      <b/>
      <sz val="10"/>
      <name val="Roboto Light"/>
    </font>
    <font>
      <sz val="9"/>
      <name val="Arial"/>
      <family val="2"/>
      <charset val="204"/>
    </font>
    <font>
      <sz val="10"/>
      <name val="Arial"/>
      <family val="2"/>
      <charset val="204"/>
    </font>
    <font>
      <sz val="10"/>
      <color theme="1"/>
      <name val="Arial"/>
      <family val="2"/>
      <charset val="204"/>
    </font>
    <font>
      <b/>
      <sz val="8"/>
      <color rgb="FFFF0000"/>
      <name val="Arial"/>
      <family val="2"/>
      <charset val="204"/>
    </font>
    <font>
      <sz val="9"/>
      <color indexed="8"/>
      <name val="Arial"/>
      <family val="2"/>
      <charset val="204"/>
    </font>
    <font>
      <sz val="10"/>
      <color indexed="8"/>
      <name val="Arial"/>
      <family val="2"/>
      <charset val="204"/>
    </font>
    <font>
      <b/>
      <sz val="8"/>
      <color indexed="10"/>
      <name val="Arial"/>
      <family val="2"/>
      <charset val="204"/>
    </font>
    <font>
      <b/>
      <sz val="8"/>
      <color rgb="FF7030A0"/>
      <name val="Arial"/>
      <family val="2"/>
      <charset val="204"/>
    </font>
    <font>
      <b/>
      <i/>
      <sz val="9"/>
      <name val="Arial"/>
      <family val="2"/>
      <charset val="204"/>
    </font>
    <font>
      <sz val="9"/>
      <color theme="1"/>
      <name val="Arial"/>
      <family val="2"/>
      <charset val="204"/>
    </font>
    <font>
      <b/>
      <sz val="12"/>
      <name val="Arial"/>
      <family val="2"/>
      <charset val="204"/>
    </font>
    <font>
      <sz val="11"/>
      <name val="Arial"/>
      <family val="2"/>
      <charset val="204"/>
    </font>
    <font>
      <b/>
      <sz val="10"/>
      <color rgb="FFFF0000"/>
      <name val="Arial"/>
      <family val="2"/>
      <charset val="204"/>
    </font>
    <font>
      <sz val="11"/>
      <color theme="1"/>
      <name val="Calibri"/>
      <family val="2"/>
      <charset val="204"/>
      <scheme val="minor"/>
    </font>
    <font>
      <b/>
      <sz val="11"/>
      <color indexed="8"/>
      <name val="Calibri"/>
      <family val="2"/>
      <charset val="204"/>
    </font>
    <font>
      <sz val="10"/>
      <color theme="1"/>
      <name val="Calibri"/>
      <family val="2"/>
      <charset val="204"/>
      <scheme val="minor"/>
    </font>
    <font>
      <b/>
      <sz val="11"/>
      <color theme="1"/>
      <name val="Calibri"/>
      <family val="2"/>
      <charset val="204"/>
      <scheme val="minor"/>
    </font>
    <font>
      <b/>
      <sz val="12"/>
      <color rgb="FFFF0000"/>
      <name val="Arial"/>
      <family val="2"/>
      <charset val="204"/>
    </font>
    <font>
      <b/>
      <sz val="9"/>
      <name val="Tahoma"/>
      <family val="2"/>
      <charset val="204"/>
    </font>
    <font>
      <sz val="9"/>
      <name val="Tahoma"/>
      <family val="2"/>
      <charset val="204"/>
    </font>
    <font>
      <u/>
      <sz val="10"/>
      <name val="Arial Cyr"/>
      <charset val="204"/>
    </font>
    <font>
      <b/>
      <sz val="10"/>
      <color rgb="FFFF0000"/>
      <name val="Arial Cyr"/>
      <charset val="204"/>
    </font>
    <font>
      <sz val="11"/>
      <color indexed="8"/>
      <name val="Calibri"/>
      <family val="2"/>
      <charset val="204"/>
    </font>
    <font>
      <sz val="10"/>
      <color indexed="8"/>
      <name val="Calibri"/>
      <family val="2"/>
      <charset val="204"/>
    </font>
    <font>
      <b/>
      <sz val="12"/>
      <color indexed="8"/>
      <name val="Roboto Light"/>
    </font>
    <font>
      <sz val="10"/>
      <color rgb="FF7030A0"/>
      <name val="Arial"/>
      <family val="2"/>
      <charset val="204"/>
    </font>
    <font>
      <b/>
      <sz val="11"/>
      <name val="Arial"/>
      <family val="2"/>
      <charset val="204"/>
    </font>
    <font>
      <b/>
      <sz val="14"/>
      <color indexed="10"/>
      <name val="Calibri"/>
      <family val="2"/>
      <charset val="204"/>
    </font>
    <font>
      <b/>
      <sz val="11"/>
      <name val="Calibri"/>
      <family val="2"/>
      <charset val="204"/>
    </font>
    <font>
      <sz val="11"/>
      <name val="Calibri"/>
      <family val="2"/>
      <charset val="204"/>
    </font>
    <font>
      <u/>
      <sz val="10"/>
      <color rgb="FF000000"/>
      <name val="Verdana"/>
      <family val="2"/>
      <charset val="204"/>
    </font>
    <font>
      <sz val="10"/>
      <color indexed="8"/>
      <name val="Verdana"/>
      <family val="2"/>
    </font>
    <font>
      <sz val="11"/>
      <name val="Arial Cyr"/>
      <charset val="204"/>
    </font>
    <font>
      <sz val="10"/>
      <color indexed="8"/>
      <name val="Arial Cyr"/>
      <charset val="204"/>
    </font>
    <font>
      <b/>
      <i/>
      <sz val="10"/>
      <color indexed="8"/>
      <name val="Verdana"/>
      <family val="2"/>
      <charset val="204"/>
    </font>
    <font>
      <b/>
      <sz val="11"/>
      <color indexed="12"/>
      <name val="Verdana"/>
      <family val="2"/>
      <charset val="204"/>
    </font>
    <font>
      <sz val="9"/>
      <color theme="0" tint="-0.14999847407452621"/>
      <name val="Verdana"/>
      <family val="2"/>
      <charset val="204"/>
    </font>
    <font>
      <sz val="10"/>
      <color rgb="FFFF3300"/>
      <name val="Verdana"/>
      <family val="2"/>
      <charset val="204"/>
    </font>
    <font>
      <sz val="10"/>
      <color indexed="10"/>
      <name val="Arial Cyr"/>
      <charset val="204"/>
    </font>
    <font>
      <sz val="11"/>
      <name val="Arial Cyr"/>
      <family val="2"/>
      <charset val="204"/>
    </font>
    <font>
      <sz val="11"/>
      <name val="Verdana"/>
      <family val="2"/>
    </font>
    <font>
      <sz val="10"/>
      <name val="Verdana"/>
      <family val="2"/>
    </font>
    <font>
      <sz val="8"/>
      <name val="Verdana"/>
      <family val="2"/>
    </font>
    <font>
      <b/>
      <sz val="11"/>
      <name val="Verdana"/>
      <family val="2"/>
    </font>
    <font>
      <sz val="10"/>
      <color rgb="FFFF0000"/>
      <name val="Arial Cyr"/>
      <charset val="204"/>
    </font>
    <font>
      <sz val="11"/>
      <color rgb="FFFF0000"/>
      <name val="Verdana"/>
      <family val="2"/>
      <charset val="1"/>
    </font>
    <font>
      <b/>
      <sz val="12"/>
      <name val="Arial cyr"/>
      <charset val="204"/>
    </font>
    <font>
      <b/>
      <sz val="14"/>
      <name val="Arial cyr"/>
      <charset val="204"/>
    </font>
    <font>
      <b/>
      <sz val="10"/>
      <name val="Verdana"/>
      <family val="2"/>
    </font>
    <font>
      <b/>
      <sz val="10"/>
      <name val="Arial Cyr"/>
      <charset val="204"/>
    </font>
    <font>
      <b/>
      <sz val="10"/>
      <color indexed="57"/>
      <name val="Arial Cyr"/>
      <charset val="204"/>
    </font>
    <font>
      <b/>
      <sz val="12"/>
      <color indexed="57"/>
      <name val="Arial Cyr"/>
      <family val="2"/>
      <charset val="204"/>
    </font>
    <font>
      <b/>
      <sz val="12"/>
      <name val="Arial Cyr"/>
      <family val="2"/>
      <charset val="204"/>
    </font>
    <font>
      <b/>
      <sz val="10"/>
      <color indexed="8"/>
      <name val="Arial Cyr"/>
      <family val="2"/>
      <charset val="204"/>
    </font>
    <font>
      <b/>
      <sz val="10"/>
      <name val="Arial Cyr"/>
      <family val="2"/>
      <charset val="204"/>
    </font>
    <font>
      <b/>
      <sz val="11"/>
      <color rgb="FFFF0000"/>
      <name val="Verdana"/>
      <family val="2"/>
      <charset val="204"/>
    </font>
    <font>
      <b/>
      <sz val="9"/>
      <color rgb="FFFF0000"/>
      <name val="Verdana"/>
      <family val="2"/>
      <charset val="204"/>
    </font>
  </fonts>
  <fills count="40">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9"/>
        <bgColor indexed="64"/>
      </patternFill>
    </fill>
    <fill>
      <patternFill patternType="solid">
        <fgColor indexed="23"/>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0"/>
        <bgColor indexed="26"/>
      </patternFill>
    </fill>
    <fill>
      <patternFill patternType="solid">
        <fgColor indexed="9"/>
        <bgColor indexed="26"/>
      </patternFill>
    </fill>
    <fill>
      <patternFill patternType="solid">
        <fgColor theme="6" tint="0.79998168889431442"/>
        <bgColor indexed="64"/>
      </patternFill>
    </fill>
    <fill>
      <patternFill patternType="solid">
        <fgColor theme="9" tint="0.79998168889431442"/>
        <bgColor indexed="64"/>
      </patternFill>
    </fill>
    <fill>
      <patternFill patternType="solid">
        <fgColor indexed="31"/>
        <bgColor indexed="27"/>
      </patternFill>
    </fill>
    <fill>
      <patternFill patternType="solid">
        <fgColor theme="8"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79998168889431442"/>
        <bgColor indexed="27"/>
      </patternFill>
    </fill>
    <fill>
      <patternFill patternType="solid">
        <fgColor theme="0" tint="-0.249977111117893"/>
        <bgColor indexed="64"/>
      </patternFill>
    </fill>
    <fill>
      <patternFill patternType="solid">
        <fgColor theme="0"/>
        <bgColor indexed="22"/>
      </patternFill>
    </fill>
    <fill>
      <patternFill patternType="solid">
        <fgColor indexed="55"/>
        <bgColor indexed="22"/>
      </patternFill>
    </fill>
    <fill>
      <patternFill patternType="solid">
        <fgColor theme="0" tint="-0.34998626667073579"/>
        <bgColor indexed="22"/>
      </patternFill>
    </fill>
    <fill>
      <patternFill patternType="solid">
        <fgColor rgb="FFABE9FF"/>
        <bgColor indexed="64"/>
      </patternFill>
    </fill>
    <fill>
      <patternFill patternType="solid">
        <fgColor rgb="FFFFC000"/>
        <bgColor indexed="34"/>
      </patternFill>
    </fill>
    <fill>
      <patternFill patternType="solid">
        <fgColor indexed="50"/>
        <bgColor indexed="55"/>
      </patternFill>
    </fill>
    <fill>
      <patternFill patternType="solid">
        <fgColor rgb="FF00B050"/>
        <bgColor indexed="22"/>
      </patternFill>
    </fill>
    <fill>
      <patternFill patternType="solid">
        <fgColor rgb="FFFFC000"/>
        <bgColor indexed="64"/>
      </patternFill>
    </fill>
    <fill>
      <patternFill patternType="solid">
        <fgColor indexed="57"/>
        <bgColor indexed="21"/>
      </patternFill>
    </fill>
    <fill>
      <patternFill patternType="solid">
        <fgColor theme="0" tint="-0.34998626667073579"/>
        <bgColor indexed="31"/>
      </patternFill>
    </fill>
    <fill>
      <patternFill patternType="solid">
        <fgColor indexed="22"/>
        <bgColor indexed="31"/>
      </patternFill>
    </fill>
    <fill>
      <patternFill patternType="solid">
        <fgColor theme="0"/>
        <bgColor indexed="8"/>
      </patternFill>
    </fill>
    <fill>
      <patternFill patternType="solid">
        <fgColor theme="0" tint="-0.14999847407452621"/>
        <bgColor indexed="64"/>
      </patternFill>
    </fill>
    <fill>
      <patternFill patternType="solid">
        <fgColor theme="5" tint="0.79998168889431442"/>
        <bgColor indexed="64"/>
      </patternFill>
    </fill>
    <fill>
      <patternFill patternType="solid">
        <fgColor rgb="FF92D050"/>
        <bgColor indexed="34"/>
      </patternFill>
    </fill>
    <fill>
      <patternFill patternType="solid">
        <fgColor rgb="FF00B050"/>
        <bgColor indexed="34"/>
      </patternFill>
    </fill>
    <fill>
      <patternFill patternType="solid">
        <fgColor theme="5" tint="0.59999389629810485"/>
        <bgColor indexed="64"/>
      </patternFill>
    </fill>
    <fill>
      <patternFill patternType="solid">
        <fgColor theme="0" tint="-0.34998626667073579"/>
        <bgColor indexed="23"/>
      </patternFill>
    </fill>
    <fill>
      <patternFill patternType="solid">
        <fgColor theme="0" tint="-0.34998626667073579"/>
        <bgColor indexed="64"/>
      </patternFill>
    </fill>
  </fills>
  <borders count="117">
    <border>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hair">
        <color indexed="8"/>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ck">
        <color auto="1"/>
      </left>
      <right style="thick">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bottom/>
      <diagonal/>
    </border>
    <border>
      <left/>
      <right/>
      <top style="thin">
        <color indexed="8"/>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auto="1"/>
      </right>
      <top style="thin">
        <color indexed="64"/>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thin">
        <color indexed="64"/>
      </left>
      <right style="thin">
        <color indexed="64"/>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medium">
        <color indexed="64"/>
      </left>
      <right style="thin">
        <color auto="1"/>
      </right>
      <top/>
      <bottom style="thin">
        <color auto="1"/>
      </bottom>
      <diagonal/>
    </border>
    <border>
      <left style="thin">
        <color auto="1"/>
      </left>
      <right style="thin">
        <color indexed="64"/>
      </right>
      <top style="thin">
        <color auto="1"/>
      </top>
      <bottom/>
      <diagonal/>
    </border>
    <border>
      <left style="thin">
        <color auto="1"/>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8"/>
      </right>
      <top style="thin">
        <color indexed="64"/>
      </top>
      <bottom/>
      <diagonal/>
    </border>
    <border>
      <left style="thin">
        <color indexed="8"/>
      </left>
      <right style="thin">
        <color indexed="64"/>
      </right>
      <top style="thin">
        <color indexed="8"/>
      </top>
      <bottom/>
      <diagonal/>
    </border>
    <border>
      <left style="thin">
        <color indexed="8"/>
      </left>
      <right style="thin">
        <color indexed="8"/>
      </right>
      <top style="thin">
        <color auto="1"/>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theme="1"/>
      </bottom>
      <diagonal/>
    </border>
    <border>
      <left style="thin">
        <color auto="1"/>
      </left>
      <right style="thin">
        <color auto="1"/>
      </right>
      <top style="thin">
        <color indexed="8"/>
      </top>
      <bottom/>
      <diagonal/>
    </border>
    <border>
      <left style="thin">
        <color auto="1"/>
      </left>
      <right style="thin">
        <color auto="1"/>
      </right>
      <top/>
      <bottom style="thin">
        <color indexed="8"/>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auto="1"/>
      </left>
      <right style="thin">
        <color indexed="64"/>
      </right>
      <top style="thin">
        <color auto="1"/>
      </top>
      <bottom/>
      <diagonal/>
    </border>
    <border>
      <left style="thin">
        <color indexed="64"/>
      </left>
      <right style="thin">
        <color indexed="8"/>
      </right>
      <top style="thin">
        <color indexed="64"/>
      </top>
      <bottom/>
      <diagonal/>
    </border>
    <border>
      <left style="thin">
        <color indexed="8"/>
      </left>
      <right style="thin">
        <color indexed="64"/>
      </right>
      <top style="thin">
        <color indexed="8"/>
      </top>
      <bottom/>
      <diagonal/>
    </border>
    <border>
      <left style="thin">
        <color indexed="8"/>
      </left>
      <right style="thin">
        <color indexed="8"/>
      </right>
      <top style="thin">
        <color auto="1"/>
      </top>
      <bottom/>
      <diagonal/>
    </border>
    <border>
      <left style="thin">
        <color indexed="8"/>
      </left>
      <right style="thin">
        <color indexed="8"/>
      </right>
      <top style="thin">
        <color indexed="8"/>
      </top>
      <bottom/>
      <diagonal/>
    </border>
    <border>
      <left style="thin">
        <color auto="1"/>
      </left>
      <right style="thin">
        <color indexed="64"/>
      </right>
      <top style="thin">
        <color auto="1"/>
      </top>
      <bottom/>
      <diagonal/>
    </border>
    <border>
      <left style="thin">
        <color indexed="64"/>
      </left>
      <right style="thin">
        <color indexed="8"/>
      </right>
      <top style="thin">
        <color indexed="64"/>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auto="1"/>
      </left>
      <right style="thin">
        <color indexed="64"/>
      </right>
      <top/>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indexed="64"/>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8"/>
      </right>
      <top style="thin">
        <color indexed="64"/>
      </top>
      <bottom/>
      <diagonal/>
    </border>
    <border>
      <left style="thin">
        <color theme="1"/>
      </left>
      <right/>
      <top style="thin">
        <color theme="1"/>
      </top>
      <bottom style="thin">
        <color theme="1"/>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diagonal/>
    </border>
    <border>
      <left style="thin">
        <color auto="1"/>
      </left>
      <right/>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theme="1"/>
      </top>
      <bottom style="thin">
        <color auto="1"/>
      </bottom>
      <diagonal/>
    </border>
    <border>
      <left/>
      <right/>
      <top style="thin">
        <color theme="1"/>
      </top>
      <bottom style="thin">
        <color auto="1"/>
      </bottom>
      <diagonal/>
    </border>
    <border>
      <left/>
      <right style="thin">
        <color auto="1"/>
      </right>
      <top style="thin">
        <color theme="1"/>
      </top>
      <bottom style="thin">
        <color auto="1"/>
      </bottom>
      <diagonal/>
    </border>
    <border>
      <left style="thin">
        <color theme="1"/>
      </left>
      <right/>
      <top/>
      <bottom style="thin">
        <color theme="1"/>
      </bottom>
      <diagonal/>
    </border>
  </borders>
  <cellStyleXfs count="33">
    <xf numFmtId="0" fontId="0" fillId="0" borderId="0"/>
    <xf numFmtId="0" fontId="3" fillId="0" borderId="0" applyNumberFormat="0" applyFill="0" applyBorder="0" applyAlignment="0" applyProtection="0">
      <alignment vertical="top"/>
      <protection locked="0"/>
    </xf>
    <xf numFmtId="0" fontId="5" fillId="0" borderId="0"/>
    <xf numFmtId="0" fontId="8" fillId="0" borderId="0"/>
    <xf numFmtId="0" fontId="11" fillId="0" borderId="0">
      <alignment horizontal="left"/>
    </xf>
    <xf numFmtId="0" fontId="13" fillId="0" borderId="0"/>
    <xf numFmtId="0" fontId="18" fillId="0" borderId="0"/>
    <xf numFmtId="0" fontId="4" fillId="0" borderId="0"/>
    <xf numFmtId="0" fontId="8" fillId="0" borderId="0"/>
    <xf numFmtId="0" fontId="11" fillId="0" borderId="0">
      <alignment horizontal="left"/>
    </xf>
    <xf numFmtId="164" fontId="4" fillId="0" borderId="0" applyFont="0" applyFill="0" applyBorder="0" applyAlignment="0" applyProtection="0"/>
    <xf numFmtId="0" fontId="8" fillId="0" borderId="0"/>
    <xf numFmtId="0" fontId="8" fillId="0" borderId="0"/>
    <xf numFmtId="0" fontId="4" fillId="0" borderId="0"/>
    <xf numFmtId="0" fontId="38" fillId="0" borderId="0"/>
    <xf numFmtId="0" fontId="11" fillId="0" borderId="0">
      <alignment horizontal="left"/>
    </xf>
    <xf numFmtId="0" fontId="8" fillId="0" borderId="0"/>
    <xf numFmtId="0" fontId="11" fillId="0" borderId="0"/>
    <xf numFmtId="0" fontId="1" fillId="0" borderId="0"/>
    <xf numFmtId="0" fontId="1" fillId="0" borderId="0"/>
    <xf numFmtId="0" fontId="40" fillId="0" borderId="0"/>
    <xf numFmtId="0" fontId="4" fillId="0" borderId="0"/>
    <xf numFmtId="0" fontId="8" fillId="0" borderId="0"/>
    <xf numFmtId="0" fontId="58" fillId="0" borderId="0"/>
    <xf numFmtId="0" fontId="65" fillId="0" borderId="0"/>
    <xf numFmtId="0" fontId="40" fillId="0" borderId="0"/>
    <xf numFmtId="0" fontId="8" fillId="0" borderId="0"/>
    <xf numFmtId="0" fontId="40" fillId="0" borderId="0"/>
    <xf numFmtId="0" fontId="66" fillId="0" borderId="0"/>
    <xf numFmtId="0" fontId="67" fillId="0" borderId="0"/>
    <xf numFmtId="0" fontId="4" fillId="0" borderId="0"/>
    <xf numFmtId="0" fontId="96" fillId="0" borderId="0"/>
    <xf numFmtId="0" fontId="8" fillId="0" borderId="0"/>
  </cellStyleXfs>
  <cellXfs count="929">
    <xf numFmtId="0" fontId="0" fillId="0" borderId="0" xfId="0"/>
    <xf numFmtId="164" fontId="0" fillId="2" borderId="0" xfId="0" applyNumberFormat="1" applyFill="1" applyAlignment="1">
      <alignment horizontal="center"/>
    </xf>
    <xf numFmtId="0" fontId="0" fillId="2" borderId="0" xfId="0" applyFill="1"/>
    <xf numFmtId="0" fontId="4" fillId="0" borderId="0" xfId="0" applyFont="1" applyAlignment="1">
      <alignment vertical="center"/>
    </xf>
    <xf numFmtId="164" fontId="0" fillId="0" borderId="0" xfId="0" applyNumberFormat="1" applyAlignment="1">
      <alignment horizontal="center"/>
    </xf>
    <xf numFmtId="0" fontId="0" fillId="0" borderId="2" xfId="0" applyBorder="1" applyAlignment="1">
      <alignment horizontal="right" vertical="center"/>
    </xf>
    <xf numFmtId="0" fontId="0" fillId="4" borderId="3" xfId="0" applyFill="1" applyBorder="1" applyAlignment="1">
      <alignment vertical="center"/>
    </xf>
    <xf numFmtId="0" fontId="0" fillId="0" borderId="3" xfId="0" applyBorder="1" applyAlignment="1">
      <alignment vertical="center"/>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0" fillId="0" borderId="5" xfId="0" applyBorder="1" applyAlignment="1">
      <alignment horizontal="right" vertical="center"/>
    </xf>
    <xf numFmtId="0" fontId="0" fillId="0" borderId="6" xfId="0" applyBorder="1" applyAlignment="1" applyProtection="1">
      <alignment vertical="center"/>
      <protection locked="0"/>
    </xf>
    <xf numFmtId="0" fontId="0" fillId="0" borderId="7" xfId="0" applyBorder="1" applyAlignment="1">
      <alignment horizontal="right" vertical="center"/>
    </xf>
    <xf numFmtId="0" fontId="0" fillId="4" borderId="8" xfId="0" applyFill="1" applyBorder="1" applyAlignment="1">
      <alignment vertical="center"/>
    </xf>
    <xf numFmtId="0" fontId="0" fillId="0" borderId="8" xfId="0" applyBorder="1" applyAlignment="1">
      <alignment vertical="center"/>
    </xf>
    <xf numFmtId="0" fontId="0" fillId="0" borderId="8" xfId="0" applyBorder="1" applyAlignment="1" applyProtection="1">
      <alignment vertical="center"/>
      <protection locked="0"/>
    </xf>
    <xf numFmtId="0" fontId="0" fillId="0" borderId="9" xfId="0" applyBorder="1" applyAlignment="1" applyProtection="1">
      <alignment vertical="center"/>
      <protection locked="0"/>
    </xf>
    <xf numFmtId="0" fontId="0" fillId="0" borderId="0" xfId="0" applyAlignment="1">
      <alignment horizontal="right" vertical="center"/>
    </xf>
    <xf numFmtId="0" fontId="0" fillId="0" borderId="0" xfId="0" applyAlignment="1">
      <alignment vertical="center"/>
    </xf>
    <xf numFmtId="3" fontId="0" fillId="0" borderId="0" xfId="0" applyNumberFormat="1" applyAlignment="1">
      <alignment vertical="center"/>
    </xf>
    <xf numFmtId="3" fontId="0" fillId="6" borderId="8" xfId="0" applyNumberFormat="1" applyFill="1" applyBorder="1" applyAlignment="1">
      <alignment vertical="center"/>
    </xf>
    <xf numFmtId="164" fontId="0" fillId="0" borderId="0" xfId="0" applyNumberFormat="1"/>
    <xf numFmtId="0" fontId="0" fillId="0" borderId="0" xfId="0" applyAlignment="1">
      <alignment wrapText="1"/>
    </xf>
    <xf numFmtId="0" fontId="14" fillId="0" borderId="0" xfId="0" applyFont="1"/>
    <xf numFmtId="0" fontId="5" fillId="0" borderId="0" xfId="0" applyFont="1"/>
    <xf numFmtId="0" fontId="15" fillId="0" borderId="0" xfId="0" applyFont="1" applyAlignment="1">
      <alignment horizontal="right"/>
    </xf>
    <xf numFmtId="0" fontId="16" fillId="0" borderId="0" xfId="0" applyFont="1"/>
    <xf numFmtId="0" fontId="7" fillId="0" borderId="0" xfId="0" applyFont="1"/>
    <xf numFmtId="0" fontId="14" fillId="0" borderId="0" xfId="0" applyFont="1" applyAlignment="1">
      <alignment vertical="top"/>
    </xf>
    <xf numFmtId="0" fontId="17" fillId="0" borderId="0" xfId="0" applyFont="1"/>
    <xf numFmtId="0" fontId="0" fillId="0" borderId="0" xfId="0" applyAlignment="1">
      <alignment vertical="top"/>
    </xf>
    <xf numFmtId="0" fontId="10" fillId="0" borderId="0" xfId="0" applyFont="1" applyAlignment="1">
      <alignment horizontal="right"/>
    </xf>
    <xf numFmtId="0" fontId="0" fillId="0" borderId="0" xfId="0" applyAlignment="1">
      <alignment horizontal="centerContinuous"/>
    </xf>
    <xf numFmtId="0" fontId="0" fillId="9" borderId="0" xfId="0" applyFill="1" applyAlignment="1">
      <alignment vertical="center"/>
    </xf>
    <xf numFmtId="49" fontId="0" fillId="0" borderId="0" xfId="0" applyNumberFormat="1" applyAlignment="1">
      <alignment horizontal="center"/>
    </xf>
    <xf numFmtId="3" fontId="0" fillId="0" borderId="8" xfId="0" applyNumberFormat="1" applyBorder="1" applyAlignment="1">
      <alignment vertical="center"/>
    </xf>
    <xf numFmtId="0" fontId="0" fillId="9" borderId="0" xfId="0" applyFill="1"/>
    <xf numFmtId="0" fontId="0" fillId="0" borderId="0" xfId="0" applyAlignment="1">
      <alignment horizontal="right"/>
    </xf>
    <xf numFmtId="164" fontId="0" fillId="0" borderId="0" xfId="0" applyNumberFormat="1" applyAlignment="1">
      <alignment horizontal="right"/>
    </xf>
    <xf numFmtId="0" fontId="0" fillId="10" borderId="0" xfId="0" applyFill="1"/>
    <xf numFmtId="14" fontId="0" fillId="9" borderId="0" xfId="0" applyNumberFormat="1" applyFill="1"/>
    <xf numFmtId="0" fontId="0" fillId="9" borderId="6" xfId="0" applyFill="1" applyBorder="1" applyAlignment="1" applyProtection="1">
      <alignment vertical="center"/>
      <protection locked="0"/>
    </xf>
    <xf numFmtId="0" fontId="3" fillId="0" borderId="0" xfId="1" applyAlignment="1" applyProtection="1">
      <alignment horizontal="center" vertical="center"/>
    </xf>
    <xf numFmtId="0" fontId="0" fillId="9" borderId="4" xfId="0" applyFill="1" applyBorder="1" applyAlignment="1" applyProtection="1">
      <alignment vertical="center"/>
      <protection locked="0"/>
    </xf>
    <xf numFmtId="3" fontId="0" fillId="0" borderId="0" xfId="0" applyNumberFormat="1"/>
    <xf numFmtId="0" fontId="19" fillId="0" borderId="0" xfId="0" applyFont="1" applyAlignment="1">
      <alignment vertical="center"/>
    </xf>
    <xf numFmtId="0" fontId="22"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0" fillId="0" borderId="0" xfId="0" applyFont="1" applyAlignment="1">
      <alignment vertical="center"/>
    </xf>
    <xf numFmtId="0" fontId="24" fillId="0" borderId="0" xfId="0" applyFont="1" applyAlignment="1" applyProtection="1">
      <alignment vertical="center"/>
      <protection locked="0"/>
    </xf>
    <xf numFmtId="0" fontId="26" fillId="0" borderId="0" xfId="0" applyFont="1" applyAlignment="1">
      <alignment vertical="center"/>
    </xf>
    <xf numFmtId="0" fontId="20" fillId="0" borderId="0" xfId="0" applyFont="1"/>
    <xf numFmtId="0" fontId="12" fillId="0" borderId="0" xfId="0" applyFont="1" applyAlignment="1">
      <alignment horizontal="justify" vertical="center"/>
    </xf>
    <xf numFmtId="49" fontId="29" fillId="7" borderId="11" xfId="0" applyNumberFormat="1" applyFont="1" applyFill="1" applyBorder="1" applyAlignment="1">
      <alignment vertical="center"/>
    </xf>
    <xf numFmtId="49" fontId="34" fillId="7" borderId="11" xfId="0" applyNumberFormat="1" applyFont="1" applyFill="1" applyBorder="1" applyAlignment="1">
      <alignment vertical="center"/>
    </xf>
    <xf numFmtId="0" fontId="23" fillId="0" borderId="0" xfId="0" applyFont="1" applyAlignment="1">
      <alignment vertical="center"/>
    </xf>
    <xf numFmtId="0" fontId="23" fillId="0" borderId="0" xfId="0" applyFont="1"/>
    <xf numFmtId="0" fontId="23" fillId="0" borderId="0" xfId="0" applyFont="1" applyAlignment="1">
      <alignment wrapText="1"/>
    </xf>
    <xf numFmtId="49" fontId="23" fillId="0" borderId="0" xfId="0" applyNumberFormat="1" applyFont="1" applyAlignment="1">
      <alignment vertical="center"/>
    </xf>
    <xf numFmtId="0" fontId="29" fillId="0" borderId="0" xfId="0" applyFont="1"/>
    <xf numFmtId="0" fontId="11" fillId="0" borderId="0" xfId="15" applyAlignment="1"/>
    <xf numFmtId="0" fontId="30" fillId="0" borderId="0" xfId="2" applyFont="1"/>
    <xf numFmtId="0" fontId="30" fillId="0" borderId="12" xfId="2" applyFont="1" applyBorder="1" applyAlignment="1">
      <alignment horizontal="center" vertical="center" textRotation="90" wrapText="1"/>
    </xf>
    <xf numFmtId="0" fontId="30" fillId="0" borderId="13" xfId="2" applyFont="1" applyBorder="1" applyAlignment="1">
      <alignment horizontal="center" vertical="center" wrapText="1"/>
    </xf>
    <xf numFmtId="1" fontId="30" fillId="0" borderId="12" xfId="2" applyNumberFormat="1" applyFont="1" applyBorder="1" applyAlignment="1">
      <alignment horizontal="center" vertical="center" textRotation="90" wrapText="1"/>
    </xf>
    <xf numFmtId="0" fontId="3" fillId="0" borderId="0" xfId="1" applyAlignment="1" applyProtection="1"/>
    <xf numFmtId="0" fontId="30" fillId="0" borderId="12" xfId="2" applyFont="1" applyBorder="1" applyAlignment="1">
      <alignment vertical="center" wrapText="1"/>
    </xf>
    <xf numFmtId="0" fontId="30" fillId="0" borderId="12" xfId="2" applyFont="1" applyBorder="1"/>
    <xf numFmtId="0" fontId="46" fillId="0" borderId="12" xfId="2" applyFont="1" applyBorder="1" applyAlignment="1">
      <alignment horizontal="right" vertical="top"/>
    </xf>
    <xf numFmtId="0" fontId="30" fillId="7" borderId="13" xfId="2" applyFont="1" applyFill="1" applyBorder="1" applyAlignment="1">
      <alignment horizontal="left" vertical="top" wrapText="1"/>
    </xf>
    <xf numFmtId="3" fontId="44" fillId="7" borderId="12" xfId="2" applyNumberFormat="1" applyFont="1" applyFill="1" applyBorder="1"/>
    <xf numFmtId="3" fontId="30" fillId="7" borderId="12" xfId="2" applyNumberFormat="1" applyFont="1" applyFill="1" applyBorder="1"/>
    <xf numFmtId="0" fontId="30" fillId="0" borderId="13" xfId="2" applyFont="1" applyBorder="1" applyAlignment="1">
      <alignment horizontal="left" vertical="top" wrapText="1"/>
    </xf>
    <xf numFmtId="165" fontId="30" fillId="0" borderId="12" xfId="2" applyNumberFormat="1" applyFont="1" applyBorder="1"/>
    <xf numFmtId="3" fontId="30" fillId="0" borderId="12" xfId="2" applyNumberFormat="1" applyFont="1" applyBorder="1"/>
    <xf numFmtId="0" fontId="23" fillId="0" borderId="13" xfId="2" applyFont="1" applyBorder="1" applyAlignment="1">
      <alignment horizontal="left" vertical="top" wrapText="1"/>
    </xf>
    <xf numFmtId="0" fontId="47" fillId="0" borderId="0" xfId="2" applyFont="1" applyAlignment="1">
      <alignment horizontal="left" vertical="top" wrapText="1"/>
    </xf>
    <xf numFmtId="0" fontId="47" fillId="0" borderId="0" xfId="2" applyFont="1" applyAlignment="1">
      <alignment vertical="top"/>
    </xf>
    <xf numFmtId="0" fontId="47" fillId="0" borderId="0" xfId="2" applyFont="1" applyAlignment="1">
      <alignment horizontal="left" vertical="center"/>
    </xf>
    <xf numFmtId="0" fontId="48" fillId="0" borderId="0" xfId="2" applyFont="1"/>
    <xf numFmtId="0" fontId="49" fillId="0" borderId="0" xfId="2" applyFont="1"/>
    <xf numFmtId="0" fontId="50" fillId="0" borderId="0" xfId="2" applyFont="1" applyAlignment="1">
      <alignment horizontal="left" vertical="top" wrapText="1"/>
    </xf>
    <xf numFmtId="0" fontId="51" fillId="0" borderId="0" xfId="2" applyFont="1"/>
    <xf numFmtId="0" fontId="53" fillId="0" borderId="0" xfId="2" applyFont="1"/>
    <xf numFmtId="0" fontId="30" fillId="0" borderId="12" xfId="2" applyFont="1" applyBorder="1" applyAlignment="1">
      <alignment horizontal="center" vertical="center" wrapText="1"/>
    </xf>
    <xf numFmtId="0" fontId="31" fillId="15" borderId="1" xfId="2" applyFont="1" applyFill="1" applyBorder="1" applyAlignment="1">
      <alignment horizontal="left" vertical="top" wrapText="1"/>
    </xf>
    <xf numFmtId="0" fontId="54" fillId="0" borderId="12" xfId="2" applyFont="1" applyBorder="1" applyAlignment="1">
      <alignment horizontal="right" vertical="top"/>
    </xf>
    <xf numFmtId="0" fontId="53" fillId="0" borderId="12" xfId="2" applyFont="1" applyBorder="1" applyAlignment="1">
      <alignment horizontal="left" wrapText="1"/>
    </xf>
    <xf numFmtId="1" fontId="53" fillId="0" borderId="12" xfId="2" applyNumberFormat="1" applyFont="1" applyBorder="1" applyAlignment="1">
      <alignment horizontal="center" vertical="center" shrinkToFit="1"/>
    </xf>
    <xf numFmtId="3" fontId="21" fillId="14" borderId="12" xfId="2" applyNumberFormat="1" applyFont="1" applyFill="1" applyBorder="1" applyAlignment="1">
      <alignment vertical="center" shrinkToFit="1"/>
    </xf>
    <xf numFmtId="3" fontId="53" fillId="0" borderId="12" xfId="2" applyNumberFormat="1" applyFont="1" applyBorder="1" applyAlignment="1">
      <alignment vertical="center" shrinkToFit="1"/>
    </xf>
    <xf numFmtId="0" fontId="53" fillId="0" borderId="12" xfId="2" applyFont="1" applyBorder="1" applyAlignment="1">
      <alignment wrapText="1"/>
    </xf>
    <xf numFmtId="0" fontId="53" fillId="7" borderId="12" xfId="2" applyFont="1" applyFill="1" applyBorder="1" applyAlignment="1">
      <alignment horizontal="left" vertical="center" wrapText="1"/>
    </xf>
    <xf numFmtId="1" fontId="53" fillId="7" borderId="12" xfId="2" applyNumberFormat="1" applyFont="1" applyFill="1" applyBorder="1" applyAlignment="1">
      <alignment horizontal="center" vertical="center" shrinkToFit="1"/>
    </xf>
    <xf numFmtId="0" fontId="53" fillId="7" borderId="12" xfId="2" applyFont="1" applyFill="1" applyBorder="1" applyAlignment="1">
      <alignment wrapText="1"/>
    </xf>
    <xf numFmtId="0" fontId="53" fillId="0" borderId="12" xfId="2" applyFont="1" applyBorder="1"/>
    <xf numFmtId="0" fontId="54" fillId="0" borderId="12" xfId="2" applyFont="1" applyBorder="1" applyAlignment="1">
      <alignment vertical="top"/>
    </xf>
    <xf numFmtId="0" fontId="54" fillId="0" borderId="0" xfId="2" applyFont="1" applyAlignment="1">
      <alignment vertical="top"/>
    </xf>
    <xf numFmtId="0" fontId="23" fillId="16" borderId="12" xfId="0" applyFont="1" applyFill="1" applyBorder="1"/>
    <xf numFmtId="0" fontId="39" fillId="16" borderId="12" xfId="0" applyFont="1" applyFill="1" applyBorder="1" applyAlignment="1">
      <alignment vertical="center"/>
    </xf>
    <xf numFmtId="0" fontId="54" fillId="0" borderId="13" xfId="2" applyFont="1" applyBorder="1" applyAlignment="1">
      <alignment vertical="top"/>
    </xf>
    <xf numFmtId="0" fontId="23" fillId="7" borderId="12" xfId="0" applyFont="1" applyFill="1" applyBorder="1" applyAlignment="1">
      <alignment wrapText="1"/>
    </xf>
    <xf numFmtId="3" fontId="23" fillId="7" borderId="12" xfId="0" applyNumberFormat="1" applyFont="1" applyFill="1" applyBorder="1" applyAlignment="1">
      <alignment vertical="center"/>
    </xf>
    <xf numFmtId="0" fontId="46" fillId="0" borderId="0" xfId="2" applyFont="1" applyAlignment="1">
      <alignment horizontal="right" vertical="top"/>
    </xf>
    <xf numFmtId="3" fontId="30" fillId="0" borderId="1" xfId="2" applyNumberFormat="1" applyFont="1" applyBorder="1" applyAlignment="1">
      <alignment vertical="center"/>
    </xf>
    <xf numFmtId="3" fontId="31" fillId="7" borderId="0" xfId="2" applyNumberFormat="1" applyFont="1" applyFill="1" applyAlignment="1">
      <alignment vertical="top" wrapText="1"/>
    </xf>
    <xf numFmtId="3" fontId="29" fillId="0" borderId="0" xfId="2" applyNumberFormat="1" applyFont="1" applyAlignment="1">
      <alignment vertical="center" wrapText="1"/>
    </xf>
    <xf numFmtId="2" fontId="30" fillId="0" borderId="0" xfId="2" applyNumberFormat="1" applyFont="1"/>
    <xf numFmtId="0" fontId="47" fillId="0" borderId="0" xfId="2" applyFont="1" applyAlignment="1">
      <alignment horizontal="left" vertical="top"/>
    </xf>
    <xf numFmtId="0" fontId="55" fillId="0" borderId="0" xfId="2" applyFont="1" applyAlignment="1">
      <alignment horizontal="left"/>
    </xf>
    <xf numFmtId="0" fontId="48" fillId="0" borderId="0" xfId="2" applyFont="1" applyAlignment="1">
      <alignment horizontal="left"/>
    </xf>
    <xf numFmtId="0" fontId="56" fillId="0" borderId="0" xfId="2" applyFont="1" applyAlignment="1">
      <alignment horizontal="left"/>
    </xf>
    <xf numFmtId="0" fontId="47" fillId="0" borderId="0" xfId="2" applyFont="1" applyAlignment="1">
      <alignment horizontal="left"/>
    </xf>
    <xf numFmtId="0" fontId="19" fillId="0" borderId="12" xfId="0" applyFont="1" applyBorder="1" applyAlignment="1">
      <alignment horizontal="center" vertical="center"/>
    </xf>
    <xf numFmtId="3" fontId="19" fillId="0" borderId="12" xfId="0" applyNumberFormat="1" applyFont="1" applyBorder="1" applyAlignment="1">
      <alignment horizontal="right" vertical="center"/>
    </xf>
    <xf numFmtId="0" fontId="19" fillId="0" borderId="12" xfId="9" applyFont="1" applyBorder="1" applyAlignment="1">
      <alignment horizontal="center" vertical="center" wrapText="1"/>
    </xf>
    <xf numFmtId="49" fontId="19" fillId="0" borderId="12" xfId="9" applyNumberFormat="1" applyFont="1" applyBorder="1" applyAlignment="1">
      <alignment horizontal="center" vertical="center" wrapText="1"/>
    </xf>
    <xf numFmtId="0" fontId="19" fillId="4" borderId="12" xfId="9" applyFont="1" applyFill="1" applyBorder="1" applyAlignment="1">
      <alignment horizontal="center" vertical="center" wrapText="1"/>
    </xf>
    <xf numFmtId="0" fontId="19" fillId="17" borderId="12" xfId="9" applyFont="1" applyFill="1" applyBorder="1" applyAlignment="1">
      <alignment horizontal="center" vertical="center" wrapText="1"/>
    </xf>
    <xf numFmtId="0" fontId="19" fillId="7" borderId="12" xfId="0" applyFont="1" applyFill="1" applyBorder="1" applyAlignment="1">
      <alignment horizontal="center"/>
    </xf>
    <xf numFmtId="0" fontId="19" fillId="17" borderId="12" xfId="0" applyFont="1" applyFill="1" applyBorder="1" applyAlignment="1">
      <alignment horizontal="center"/>
    </xf>
    <xf numFmtId="1" fontId="19" fillId="4" borderId="12" xfId="9" applyNumberFormat="1" applyFont="1" applyFill="1" applyBorder="1" applyAlignment="1">
      <alignment horizontal="center" vertical="center" wrapText="1"/>
    </xf>
    <xf numFmtId="1" fontId="19" fillId="0" borderId="12" xfId="9" applyNumberFormat="1" applyFont="1" applyBorder="1" applyAlignment="1">
      <alignment horizontal="center" vertical="center" wrapText="1"/>
    </xf>
    <xf numFmtId="49" fontId="19" fillId="0" borderId="12" xfId="0" applyNumberFormat="1" applyFont="1" applyBorder="1" applyAlignment="1">
      <alignment horizontal="center"/>
    </xf>
    <xf numFmtId="49" fontId="19" fillId="0" borderId="12" xfId="0" applyNumberFormat="1" applyFont="1" applyBorder="1" applyAlignment="1">
      <alignment horizontal="left" vertical="top" wrapText="1"/>
    </xf>
    <xf numFmtId="0" fontId="19" fillId="0" borderId="12" xfId="0" applyFont="1" applyBorder="1" applyAlignment="1">
      <alignment horizontal="center" vertical="center" wrapText="1"/>
    </xf>
    <xf numFmtId="0" fontId="19" fillId="0" borderId="12" xfId="0" applyFont="1" applyBorder="1" applyAlignment="1">
      <alignment horizontal="center"/>
    </xf>
    <xf numFmtId="0" fontId="19" fillId="7" borderId="12" xfId="0" applyFont="1" applyFill="1" applyBorder="1" applyAlignment="1">
      <alignment horizontal="right" vertical="center"/>
    </xf>
    <xf numFmtId="3" fontId="19" fillId="0" borderId="12" xfId="9" applyNumberFormat="1" applyFont="1" applyBorder="1" applyAlignment="1">
      <alignment horizontal="right" vertical="center" wrapText="1"/>
    </xf>
    <xf numFmtId="49" fontId="19" fillId="17" borderId="12" xfId="9" applyNumberFormat="1" applyFont="1" applyFill="1" applyBorder="1" applyAlignment="1">
      <alignment horizontal="center" vertical="center" wrapText="1"/>
    </xf>
    <xf numFmtId="0" fontId="19" fillId="7" borderId="12" xfId="0" applyFont="1" applyFill="1" applyBorder="1"/>
    <xf numFmtId="3" fontId="19" fillId="7" borderId="12" xfId="9" applyNumberFormat="1" applyFont="1" applyFill="1" applyBorder="1" applyAlignment="1">
      <alignment horizontal="right" vertical="center" wrapText="1"/>
    </xf>
    <xf numFmtId="0" fontId="19" fillId="0" borderId="12" xfId="0" applyFont="1" applyBorder="1" applyAlignment="1">
      <alignment horizontal="left" vertical="top"/>
    </xf>
    <xf numFmtId="49" fontId="19" fillId="0" borderId="12" xfId="0" applyNumberFormat="1" applyFont="1" applyBorder="1" applyAlignment="1">
      <alignment horizontal="center" vertical="center"/>
    </xf>
    <xf numFmtId="49" fontId="19" fillId="17" borderId="12" xfId="9" applyNumberFormat="1" applyFont="1" applyFill="1" applyBorder="1" applyAlignment="1">
      <alignment horizontal="center" vertical="top"/>
    </xf>
    <xf numFmtId="49" fontId="19" fillId="17" borderId="12" xfId="0" applyNumberFormat="1" applyFont="1" applyFill="1" applyBorder="1" applyAlignment="1">
      <alignment horizontal="center"/>
    </xf>
    <xf numFmtId="0" fontId="19" fillId="7" borderId="12" xfId="0" applyFont="1" applyFill="1" applyBorder="1" applyAlignment="1" applyProtection="1">
      <alignment horizontal="right" vertical="center"/>
      <protection locked="0"/>
    </xf>
    <xf numFmtId="3" fontId="57" fillId="0" borderId="12" xfId="9" applyNumberFormat="1" applyFont="1" applyBorder="1" applyAlignment="1">
      <alignment horizontal="right" vertical="top"/>
    </xf>
    <xf numFmtId="0" fontId="23" fillId="4" borderId="0" xfId="0" applyFont="1" applyFill="1"/>
    <xf numFmtId="0" fontId="23" fillId="0" borderId="0" xfId="0" applyFont="1" applyAlignment="1">
      <alignment horizontal="center"/>
    </xf>
    <xf numFmtId="0" fontId="23" fillId="7" borderId="13" xfId="2" applyFont="1" applyFill="1" applyBorder="1" applyAlignment="1">
      <alignment horizontal="left" vertical="top" wrapText="1"/>
    </xf>
    <xf numFmtId="165" fontId="23" fillId="7" borderId="12" xfId="2" applyNumberFormat="1" applyFont="1" applyFill="1" applyBorder="1"/>
    <xf numFmtId="0" fontId="23" fillId="0" borderId="12" xfId="2" applyFont="1" applyBorder="1" applyAlignment="1">
      <alignment horizontal="left" vertical="top" wrapText="1"/>
    </xf>
    <xf numFmtId="0" fontId="46" fillId="0" borderId="16" xfId="2" applyFont="1" applyBorder="1" applyAlignment="1">
      <alignment horizontal="right" vertical="top"/>
    </xf>
    <xf numFmtId="0" fontId="60" fillId="0" borderId="0" xfId="0" applyFont="1" applyAlignment="1">
      <alignment vertical="center"/>
    </xf>
    <xf numFmtId="0" fontId="35" fillId="12" borderId="0" xfId="11" applyFont="1" applyFill="1" applyAlignment="1">
      <alignment horizontal="center" vertical="center"/>
    </xf>
    <xf numFmtId="0" fontId="35" fillId="12" borderId="0" xfId="11" applyFont="1" applyFill="1" applyAlignment="1">
      <alignment horizontal="left" vertical="center"/>
    </xf>
    <xf numFmtId="0" fontId="35" fillId="0" borderId="0" xfId="11" applyFont="1" applyAlignment="1">
      <alignment horizontal="left" vertical="center"/>
    </xf>
    <xf numFmtId="1" fontId="35" fillId="12" borderId="0" xfId="11" applyNumberFormat="1" applyFont="1" applyFill="1" applyAlignment="1">
      <alignment vertical="center" wrapText="1"/>
    </xf>
    <xf numFmtId="49" fontId="23" fillId="7" borderId="11" xfId="0" applyNumberFormat="1" applyFont="1" applyFill="1" applyBorder="1" applyAlignment="1">
      <alignment vertical="center"/>
    </xf>
    <xf numFmtId="0" fontId="62" fillId="0" borderId="0" xfId="2" applyFont="1"/>
    <xf numFmtId="165" fontId="62" fillId="0" borderId="0" xfId="2" applyNumberFormat="1" applyFont="1"/>
    <xf numFmtId="0" fontId="63" fillId="0" borderId="0" xfId="2" applyFont="1"/>
    <xf numFmtId="0" fontId="63" fillId="16" borderId="0" xfId="2" applyFont="1" applyFill="1"/>
    <xf numFmtId="165" fontId="64" fillId="0" borderId="0" xfId="2" applyNumberFormat="1" applyFont="1"/>
    <xf numFmtId="0" fontId="31" fillId="18" borderId="13" xfId="2" applyFont="1" applyFill="1" applyBorder="1" applyAlignment="1">
      <alignment horizontal="left" vertical="top" wrapText="1"/>
    </xf>
    <xf numFmtId="0" fontId="31" fillId="19" borderId="13" xfId="2" applyFont="1" applyFill="1" applyBorder="1" applyAlignment="1">
      <alignment horizontal="left" vertical="top" wrapText="1"/>
    </xf>
    <xf numFmtId="0" fontId="29" fillId="18" borderId="13" xfId="2" applyFont="1" applyFill="1" applyBorder="1" applyAlignment="1">
      <alignment horizontal="left" vertical="top" wrapText="1"/>
    </xf>
    <xf numFmtId="0" fontId="23" fillId="7" borderId="12" xfId="2" applyFont="1" applyFill="1" applyBorder="1" applyAlignment="1">
      <alignment horizontal="left" vertical="top" wrapText="1"/>
    </xf>
    <xf numFmtId="0" fontId="59" fillId="7" borderId="12" xfId="0" applyFont="1" applyFill="1" applyBorder="1" applyAlignment="1">
      <alignment horizontal="left" vertical="top"/>
    </xf>
    <xf numFmtId="3" fontId="23" fillId="0" borderId="0" xfId="0" applyNumberFormat="1" applyFont="1"/>
    <xf numFmtId="0" fontId="21" fillId="12" borderId="0" xfId="11" applyFont="1" applyFill="1" applyAlignment="1">
      <alignment horizontal="left" vertical="center"/>
    </xf>
    <xf numFmtId="0" fontId="68" fillId="0" borderId="0" xfId="0" applyFont="1" applyAlignment="1">
      <alignment vertical="center"/>
    </xf>
    <xf numFmtId="0" fontId="69" fillId="0" borderId="0" xfId="0" applyFont="1" applyAlignment="1">
      <alignment vertical="center"/>
    </xf>
    <xf numFmtId="0" fontId="2" fillId="0" borderId="0" xfId="0" applyFont="1" applyAlignment="1">
      <alignment vertical="center"/>
    </xf>
    <xf numFmtId="0" fontId="19" fillId="13" borderId="12" xfId="0" applyFont="1" applyFill="1" applyBorder="1" applyAlignment="1">
      <alignment horizontal="right" vertical="center"/>
    </xf>
    <xf numFmtId="0" fontId="20" fillId="0" borderId="18" xfId="0" applyFont="1" applyBorder="1" applyAlignment="1">
      <alignment horizontal="left" vertical="top" wrapText="1"/>
    </xf>
    <xf numFmtId="0" fontId="20" fillId="0" borderId="21" xfId="0" applyFont="1" applyBorder="1" applyAlignment="1" applyProtection="1">
      <alignment horizontal="left" vertical="top" wrapText="1"/>
      <protection locked="0"/>
    </xf>
    <xf numFmtId="0" fontId="20" fillId="0" borderId="19" xfId="0" applyFont="1" applyBorder="1" applyAlignment="1" applyProtection="1">
      <alignment horizontal="left" vertical="top" wrapText="1"/>
      <protection locked="0"/>
    </xf>
    <xf numFmtId="0" fontId="20" fillId="0" borderId="12" xfId="0" applyFont="1" applyBorder="1" applyAlignment="1">
      <alignment vertical="center" wrapText="1"/>
    </xf>
    <xf numFmtId="0" fontId="20" fillId="0" borderId="12" xfId="0" applyFont="1" applyBorder="1" applyAlignment="1" applyProtection="1">
      <alignment horizontal="left" vertical="top" wrapText="1"/>
      <protection locked="0"/>
    </xf>
    <xf numFmtId="0" fontId="20" fillId="7" borderId="19" xfId="0" applyFont="1" applyFill="1" applyBorder="1" applyAlignment="1" applyProtection="1">
      <alignment horizontal="left" vertical="top" wrapText="1"/>
      <protection locked="0"/>
    </xf>
    <xf numFmtId="0" fontId="20" fillId="0" borderId="19" xfId="0" applyFont="1" applyBorder="1" applyAlignment="1">
      <alignment vertical="center" wrapText="1"/>
    </xf>
    <xf numFmtId="0" fontId="20" fillId="12" borderId="21" xfId="11" applyFont="1" applyFill="1" applyBorder="1" applyAlignment="1" applyProtection="1">
      <alignment horizontal="left" vertical="top" wrapText="1"/>
      <protection locked="0"/>
    </xf>
    <xf numFmtId="0" fontId="20" fillId="0" borderId="12" xfId="0" applyFont="1" applyBorder="1" applyAlignment="1">
      <alignment horizontal="left" vertical="top" wrapText="1"/>
    </xf>
    <xf numFmtId="0" fontId="20" fillId="0" borderId="19" xfId="0" applyFont="1" applyBorder="1" applyAlignment="1">
      <alignment horizontal="left" vertical="top" wrapText="1"/>
    </xf>
    <xf numFmtId="0" fontId="20" fillId="0" borderId="12" xfId="0" applyFont="1" applyBorder="1" applyAlignment="1">
      <alignment horizontal="center" vertical="center" wrapText="1"/>
    </xf>
    <xf numFmtId="0" fontId="20" fillId="0" borderId="12" xfId="0" applyFont="1" applyBorder="1" applyAlignment="1">
      <alignment horizontal="left" vertical="center" wrapText="1"/>
    </xf>
    <xf numFmtId="0" fontId="41" fillId="0" borderId="12" xfId="0" applyFont="1" applyBorder="1" applyAlignment="1">
      <alignment vertical="center" wrapText="1"/>
    </xf>
    <xf numFmtId="49" fontId="20" fillId="0" borderId="5" xfId="0" applyNumberFormat="1" applyFont="1" applyBorder="1" applyAlignment="1" applyProtection="1">
      <alignment horizontal="center" vertical="center" shrinkToFit="1"/>
      <protection locked="0"/>
    </xf>
    <xf numFmtId="49" fontId="20" fillId="0" borderId="12" xfId="0" applyNumberFormat="1" applyFont="1" applyBorder="1" applyAlignment="1">
      <alignment horizontal="center" vertical="center" shrinkToFit="1"/>
    </xf>
    <xf numFmtId="0" fontId="20" fillId="7" borderId="12" xfId="0" applyFont="1" applyFill="1" applyBorder="1" applyAlignment="1">
      <alignment horizontal="left" vertical="top" wrapText="1"/>
    </xf>
    <xf numFmtId="0" fontId="20" fillId="12" borderId="21" xfId="0" applyFont="1" applyFill="1" applyBorder="1" applyAlignment="1" applyProtection="1">
      <alignment vertical="center" wrapText="1"/>
      <protection locked="0"/>
    </xf>
    <xf numFmtId="0" fontId="20" fillId="0" borderId="12" xfId="0" applyFont="1" applyBorder="1" applyAlignment="1" applyProtection="1">
      <alignment vertical="center" wrapText="1"/>
      <protection locked="0"/>
    </xf>
    <xf numFmtId="0" fontId="20" fillId="0" borderId="19" xfId="0" applyFont="1" applyBorder="1" applyAlignment="1" applyProtection="1">
      <alignment vertical="center"/>
      <protection locked="0"/>
    </xf>
    <xf numFmtId="0" fontId="71" fillId="12" borderId="21" xfId="11" applyFont="1" applyFill="1" applyBorder="1" applyAlignment="1" applyProtection="1">
      <alignment vertical="center" wrapText="1"/>
      <protection locked="0"/>
    </xf>
    <xf numFmtId="0" fontId="29" fillId="0" borderId="0" xfId="11" applyFont="1" applyAlignment="1">
      <alignment vertical="center" wrapText="1"/>
    </xf>
    <xf numFmtId="0" fontId="20" fillId="0" borderId="12" xfId="0" applyFont="1" applyBorder="1" applyAlignment="1" applyProtection="1">
      <alignment horizontal="left" vertical="center" wrapText="1"/>
      <protection locked="0"/>
    </xf>
    <xf numFmtId="0" fontId="57" fillId="0" borderId="0" xfId="0" applyFont="1" applyAlignment="1">
      <alignment horizontal="right" vertical="center"/>
    </xf>
    <xf numFmtId="0" fontId="29" fillId="0" borderId="0" xfId="0" applyFont="1" applyAlignment="1">
      <alignment horizontal="center" vertical="center" wrapText="1"/>
    </xf>
    <xf numFmtId="3" fontId="19" fillId="0" borderId="0" xfId="0" applyNumberFormat="1" applyFont="1" applyAlignment="1">
      <alignment vertical="center"/>
    </xf>
    <xf numFmtId="49" fontId="20" fillId="0" borderId="12" xfId="0" applyNumberFormat="1" applyFont="1" applyBorder="1" applyAlignment="1">
      <alignment horizontal="center" vertical="center"/>
    </xf>
    <xf numFmtId="0" fontId="41" fillId="0" borderId="19" xfId="0" applyFont="1" applyBorder="1" applyAlignment="1" applyProtection="1">
      <alignment horizontal="left" vertical="center" wrapText="1"/>
      <protection locked="0"/>
    </xf>
    <xf numFmtId="0" fontId="41" fillId="0" borderId="19" xfId="0" applyFont="1" applyBorder="1" applyAlignment="1" applyProtection="1">
      <alignment horizontal="left" vertical="top" wrapText="1"/>
      <protection locked="0"/>
    </xf>
    <xf numFmtId="0" fontId="20" fillId="7" borderId="19" xfId="0" applyFont="1" applyFill="1" applyBorder="1" applyAlignment="1" applyProtection="1">
      <alignment vertical="center" wrapText="1"/>
      <protection locked="0"/>
    </xf>
    <xf numFmtId="0" fontId="20" fillId="7" borderId="12" xfId="0" applyFont="1" applyFill="1" applyBorder="1" applyAlignment="1">
      <alignment vertical="center" wrapText="1"/>
    </xf>
    <xf numFmtId="0" fontId="20" fillId="7" borderId="12" xfId="0" applyFont="1" applyFill="1" applyBorder="1" applyAlignment="1" applyProtection="1">
      <alignment vertical="center"/>
      <protection locked="0"/>
    </xf>
    <xf numFmtId="0" fontId="20" fillId="7" borderId="12" xfId="0" applyFont="1" applyFill="1" applyBorder="1" applyAlignment="1" applyProtection="1">
      <alignment horizontal="left" vertical="top" wrapText="1"/>
      <protection locked="0"/>
    </xf>
    <xf numFmtId="0" fontId="71" fillId="4" borderId="12" xfId="0" applyFont="1" applyFill="1" applyBorder="1" applyAlignment="1" applyProtection="1">
      <alignment vertical="center" wrapText="1"/>
      <protection locked="0"/>
    </xf>
    <xf numFmtId="3" fontId="0" fillId="9" borderId="12" xfId="0" applyNumberFormat="1" applyFill="1" applyBorder="1" applyAlignment="1">
      <alignment vertical="center"/>
    </xf>
    <xf numFmtId="0" fontId="0" fillId="4" borderId="12" xfId="0" applyFill="1" applyBorder="1" applyAlignment="1">
      <alignment vertical="center"/>
    </xf>
    <xf numFmtId="0" fontId="0" fillId="0" borderId="12" xfId="0" applyBorder="1" applyAlignment="1">
      <alignment vertical="center"/>
    </xf>
    <xf numFmtId="0" fontId="0" fillId="0" borderId="12" xfId="0" applyBorder="1" applyAlignment="1" applyProtection="1">
      <alignment vertical="center"/>
      <protection locked="0"/>
    </xf>
    <xf numFmtId="3" fontId="0" fillId="0" borderId="12" xfId="0" applyNumberFormat="1" applyBorder="1" applyAlignment="1">
      <alignment vertical="center"/>
    </xf>
    <xf numFmtId="0" fontId="54" fillId="0" borderId="16" xfId="2" applyFont="1" applyBorder="1" applyAlignment="1">
      <alignment horizontal="right" vertical="top"/>
    </xf>
    <xf numFmtId="0" fontId="54" fillId="0" borderId="16" xfId="2" applyFont="1" applyBorder="1" applyAlignment="1">
      <alignment vertical="top"/>
    </xf>
    <xf numFmtId="0" fontId="53" fillId="0" borderId="16" xfId="2" applyFont="1" applyBorder="1" applyAlignment="1">
      <alignment wrapText="1"/>
    </xf>
    <xf numFmtId="3" fontId="53" fillId="0" borderId="16" xfId="2" applyNumberFormat="1" applyFont="1" applyBorder="1" applyAlignment="1">
      <alignment vertical="center" shrinkToFit="1"/>
    </xf>
    <xf numFmtId="0" fontId="7" fillId="5" borderId="12" xfId="0" applyFont="1" applyFill="1" applyBorder="1" applyAlignment="1">
      <alignment horizontal="center" vertical="center"/>
    </xf>
    <xf numFmtId="0" fontId="7" fillId="5" borderId="13" xfId="0" applyFont="1" applyFill="1" applyBorder="1" applyAlignment="1">
      <alignment horizontal="centerContinuous"/>
    </xf>
    <xf numFmtId="0" fontId="7" fillId="5" borderId="22" xfId="0" applyFont="1" applyFill="1" applyBorder="1" applyAlignment="1">
      <alignment horizontal="centerContinuous"/>
    </xf>
    <xf numFmtId="0" fontId="7" fillId="5" borderId="14" xfId="0" applyFont="1" applyFill="1" applyBorder="1" applyAlignment="1">
      <alignment horizontal="centerContinuous"/>
    </xf>
    <xf numFmtId="1" fontId="0" fillId="0" borderId="12" xfId="0" applyNumberFormat="1" applyBorder="1" applyAlignment="1">
      <alignment horizontal="right" vertical="top"/>
    </xf>
    <xf numFmtId="0" fontId="5" fillId="0" borderId="12" xfId="0" applyFont="1" applyBorder="1" applyAlignment="1">
      <alignment horizontal="center" vertical="top"/>
    </xf>
    <xf numFmtId="166" fontId="5" fillId="0" borderId="12" xfId="0" applyNumberFormat="1" applyFont="1" applyBorder="1" applyAlignment="1">
      <alignment horizontal="right" vertical="top"/>
    </xf>
    <xf numFmtId="2" fontId="5" fillId="0" borderId="12" xfId="0" applyNumberFormat="1" applyFont="1" applyBorder="1" applyAlignment="1">
      <alignment horizontal="right" vertical="top"/>
    </xf>
    <xf numFmtId="0" fontId="0" fillId="0" borderId="17" xfId="0" applyBorder="1"/>
    <xf numFmtId="2" fontId="10" fillId="0" borderId="12" xfId="0" applyNumberFormat="1" applyFont="1" applyBorder="1" applyAlignment="1">
      <alignment horizontal="right"/>
    </xf>
    <xf numFmtId="0" fontId="20" fillId="0" borderId="12" xfId="0" applyFont="1" applyBorder="1" applyAlignment="1" applyProtection="1">
      <alignment horizontal="center" vertical="center" shrinkToFit="1"/>
      <protection locked="0"/>
    </xf>
    <xf numFmtId="0" fontId="20" fillId="0" borderId="19" xfId="0" applyFont="1" applyBorder="1" applyAlignment="1">
      <alignment horizontal="center" vertical="center" shrinkToFit="1"/>
    </xf>
    <xf numFmtId="0" fontId="20" fillId="0" borderId="21" xfId="0" applyFont="1" applyBorder="1" applyAlignment="1" applyProtection="1">
      <alignment horizontal="center" vertical="center" wrapText="1"/>
      <protection locked="0"/>
    </xf>
    <xf numFmtId="0" fontId="20" fillId="0" borderId="12" xfId="0" applyFont="1" applyBorder="1" applyAlignment="1">
      <alignment horizontal="center" vertical="center" shrinkToFit="1"/>
    </xf>
    <xf numFmtId="0" fontId="20" fillId="0" borderId="12"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41" fillId="0" borderId="12" xfId="0" applyFont="1" applyBorder="1" applyAlignment="1">
      <alignment horizontal="center" vertical="top" wrapText="1"/>
    </xf>
    <xf numFmtId="0" fontId="20" fillId="0" borderId="21" xfId="11" applyFont="1" applyBorder="1" applyAlignment="1" applyProtection="1">
      <alignment horizontal="center" vertical="center" wrapText="1"/>
      <protection locked="0"/>
    </xf>
    <xf numFmtId="0" fontId="20" fillId="0" borderId="1" xfId="0" applyFont="1" applyBorder="1" applyAlignment="1">
      <alignment horizontal="center" vertical="center" wrapText="1"/>
    </xf>
    <xf numFmtId="0" fontId="20" fillId="0" borderId="12" xfId="0" applyFont="1" applyBorder="1" applyAlignment="1">
      <alignment horizontal="center" vertical="center"/>
    </xf>
    <xf numFmtId="0" fontId="39" fillId="0" borderId="12" xfId="0" applyFont="1" applyBorder="1" applyAlignment="1">
      <alignment horizontal="center" vertical="center" shrinkToFit="1"/>
    </xf>
    <xf numFmtId="0" fontId="20" fillId="0" borderId="21" xfId="0" applyFont="1" applyBorder="1" applyAlignment="1">
      <alignment horizontal="center" vertical="center" wrapText="1"/>
    </xf>
    <xf numFmtId="0" fontId="29" fillId="0" borderId="0" xfId="0" applyFont="1" applyAlignment="1">
      <alignment vertical="center" wrapText="1"/>
    </xf>
    <xf numFmtId="0" fontId="57" fillId="0" borderId="0" xfId="0" applyFont="1" applyAlignment="1">
      <alignment vertical="center"/>
    </xf>
    <xf numFmtId="0" fontId="79" fillId="0" borderId="0" xfId="0" applyFont="1" applyAlignment="1">
      <alignment horizontal="center" vertical="top"/>
    </xf>
    <xf numFmtId="0" fontId="78" fillId="0" borderId="0" xfId="0" applyFont="1" applyAlignment="1">
      <alignment horizontal="centerContinuous"/>
    </xf>
    <xf numFmtId="0" fontId="80" fillId="0" borderId="0" xfId="0" applyFont="1"/>
    <xf numFmtId="0" fontId="79" fillId="0" borderId="0" xfId="0" applyFont="1" applyAlignment="1">
      <alignment vertical="top"/>
    </xf>
    <xf numFmtId="0" fontId="81" fillId="8" borderId="23" xfId="0" applyFont="1" applyFill="1" applyBorder="1"/>
    <xf numFmtId="0" fontId="82" fillId="9" borderId="24" xfId="0" applyFont="1" applyFill="1" applyBorder="1"/>
    <xf numFmtId="0" fontId="79" fillId="0" borderId="25" xfId="0" applyFont="1" applyBorder="1" applyAlignment="1">
      <alignment horizontal="center" vertical="center" wrapText="1"/>
    </xf>
    <xf numFmtId="0" fontId="79" fillId="0" borderId="26" xfId="0" applyFont="1" applyBorder="1" applyAlignment="1">
      <alignment horizontal="center" vertical="center" wrapText="1"/>
    </xf>
    <xf numFmtId="0" fontId="80" fillId="0" borderId="26" xfId="0" applyFont="1" applyBorder="1" applyAlignment="1">
      <alignment horizontal="center" vertical="center"/>
    </xf>
    <xf numFmtId="0" fontId="79" fillId="3" borderId="19" xfId="0" applyFont="1" applyFill="1" applyBorder="1" applyAlignment="1">
      <alignment horizontal="center" vertical="center" wrapText="1"/>
    </xf>
    <xf numFmtId="0" fontId="79" fillId="9" borderId="27" xfId="0" applyFont="1" applyFill="1" applyBorder="1" applyAlignment="1">
      <alignment horizontal="center" vertical="top"/>
    </xf>
    <xf numFmtId="0" fontId="79" fillId="9" borderId="19" xfId="0" applyFont="1" applyFill="1" applyBorder="1" applyAlignment="1">
      <alignment horizontal="center" vertical="center"/>
    </xf>
    <xf numFmtId="0" fontId="83" fillId="9" borderId="19" xfId="0" applyFont="1" applyFill="1" applyBorder="1" applyAlignment="1">
      <alignment vertical="center"/>
    </xf>
    <xf numFmtId="4" fontId="83" fillId="9" borderId="19" xfId="0" applyNumberFormat="1" applyFont="1" applyFill="1" applyBorder="1" applyAlignment="1">
      <alignment vertical="center"/>
    </xf>
    <xf numFmtId="4" fontId="83" fillId="9" borderId="19" xfId="0" applyNumberFormat="1" applyFont="1" applyFill="1" applyBorder="1" applyAlignment="1">
      <alignment horizontal="right" vertical="center" wrapText="1"/>
    </xf>
    <xf numFmtId="4" fontId="79" fillId="9" borderId="19" xfId="0" applyNumberFormat="1" applyFont="1" applyFill="1" applyBorder="1" applyAlignment="1">
      <alignment horizontal="right" vertical="top"/>
    </xf>
    <xf numFmtId="0" fontId="80" fillId="9" borderId="19" xfId="0" applyFont="1" applyFill="1" applyBorder="1"/>
    <xf numFmtId="0" fontId="79" fillId="9" borderId="19" xfId="0" applyFont="1" applyFill="1" applyBorder="1"/>
    <xf numFmtId="0" fontId="84" fillId="0" borderId="27" xfId="0" applyFont="1" applyBorder="1" applyAlignment="1">
      <alignment horizontal="center" vertical="top"/>
    </xf>
    <xf numFmtId="0" fontId="83" fillId="0" borderId="19" xfId="0" applyFont="1" applyBorder="1" applyAlignment="1">
      <alignment vertical="center"/>
    </xf>
    <xf numFmtId="0" fontId="83" fillId="0" borderId="19" xfId="0" applyFont="1" applyBorder="1" applyAlignment="1">
      <alignment horizontal="center" vertical="center"/>
    </xf>
    <xf numFmtId="4" fontId="83" fillId="0" borderId="19" xfId="0" applyNumberFormat="1" applyFont="1" applyBorder="1" applyAlignment="1">
      <alignment horizontal="center" vertical="center"/>
    </xf>
    <xf numFmtId="4" fontId="84" fillId="0" borderId="19" xfId="0" applyNumberFormat="1" applyFont="1" applyBorder="1" applyAlignment="1">
      <alignment horizontal="right" vertical="top"/>
    </xf>
    <xf numFmtId="0" fontId="80" fillId="0" borderId="19" xfId="0" applyFont="1" applyBorder="1"/>
    <xf numFmtId="0" fontId="79" fillId="0" borderId="19" xfId="0" applyFont="1" applyBorder="1"/>
    <xf numFmtId="0" fontId="84" fillId="4" borderId="27" xfId="0" applyFont="1" applyFill="1" applyBorder="1" applyAlignment="1">
      <alignment horizontal="center" vertical="top"/>
    </xf>
    <xf numFmtId="0" fontId="86" fillId="0" borderId="19" xfId="0" applyFont="1" applyBorder="1" applyAlignment="1">
      <alignment wrapText="1"/>
    </xf>
    <xf numFmtId="0" fontId="83" fillId="7" borderId="19" xfId="0" applyFont="1" applyFill="1" applyBorder="1" applyAlignment="1">
      <alignment vertical="center"/>
    </xf>
    <xf numFmtId="0" fontId="84" fillId="0" borderId="19" xfId="0" applyFont="1" applyBorder="1" applyAlignment="1">
      <alignment vertical="top" wrapText="1"/>
    </xf>
    <xf numFmtId="4" fontId="84" fillId="9" borderId="19" xfId="0" applyNumberFormat="1" applyFont="1" applyFill="1" applyBorder="1" applyAlignment="1">
      <alignment horizontal="right" vertical="top"/>
    </xf>
    <xf numFmtId="0" fontId="87" fillId="0" borderId="27" xfId="0" applyFont="1" applyBorder="1" applyAlignment="1">
      <alignment horizontal="center" vertical="center" wrapText="1"/>
    </xf>
    <xf numFmtId="0" fontId="88" fillId="0" borderId="19" xfId="0" applyFont="1" applyBorder="1" applyAlignment="1">
      <alignment horizontal="center" vertical="center"/>
    </xf>
    <xf numFmtId="4" fontId="87" fillId="0" borderId="19" xfId="0" applyNumberFormat="1" applyFont="1" applyBorder="1" applyAlignment="1">
      <alignment horizontal="center" vertical="center" wrapText="1"/>
    </xf>
    <xf numFmtId="0" fontId="87" fillId="0" borderId="19" xfId="0" applyFont="1" applyBorder="1" applyAlignment="1">
      <alignment vertical="center" wrapText="1"/>
    </xf>
    <xf numFmtId="0" fontId="83" fillId="0" borderId="19" xfId="0" applyFont="1" applyBorder="1" applyAlignment="1">
      <alignment horizontal="left" vertical="center"/>
    </xf>
    <xf numFmtId="0" fontId="87" fillId="7" borderId="27" xfId="0" applyFont="1" applyFill="1" applyBorder="1" applyAlignment="1">
      <alignment horizontal="center" vertical="center" wrapText="1"/>
    </xf>
    <xf numFmtId="0" fontId="84" fillId="0" borderId="19" xfId="15" applyFont="1" applyBorder="1" applyAlignment="1">
      <alignment vertical="top" wrapText="1"/>
    </xf>
    <xf numFmtId="0" fontId="84" fillId="0" borderId="19" xfId="15" applyFont="1" applyBorder="1" applyAlignment="1">
      <alignment horizontal="center" vertical="center"/>
    </xf>
    <xf numFmtId="1" fontId="84" fillId="0" borderId="19" xfId="15" applyNumberFormat="1" applyFont="1" applyBorder="1" applyAlignment="1">
      <alignment horizontal="center" vertical="center"/>
    </xf>
    <xf numFmtId="2" fontId="84" fillId="21" borderId="19" xfId="15" applyNumberFormat="1" applyFont="1" applyFill="1" applyBorder="1" applyAlignment="1">
      <alignment horizontal="center" vertical="center"/>
    </xf>
    <xf numFmtId="2" fontId="84" fillId="11" borderId="19" xfId="15" applyNumberFormat="1" applyFont="1" applyFill="1" applyBorder="1" applyAlignment="1">
      <alignment horizontal="center" vertical="center"/>
    </xf>
    <xf numFmtId="0" fontId="80" fillId="12" borderId="19" xfId="15" applyFont="1" applyFill="1" applyBorder="1" applyAlignment="1">
      <alignment vertical="center" wrapText="1"/>
    </xf>
    <xf numFmtId="2" fontId="80" fillId="22" borderId="19" xfId="15" applyNumberFormat="1" applyFont="1" applyFill="1" applyBorder="1" applyAlignment="1">
      <alignment horizontal="center" vertical="center"/>
    </xf>
    <xf numFmtId="2" fontId="11" fillId="11" borderId="0" xfId="15" applyNumberFormat="1" applyFill="1" applyAlignment="1"/>
    <xf numFmtId="0" fontId="11" fillId="12" borderId="0" xfId="15" applyFill="1" applyAlignment="1"/>
    <xf numFmtId="2" fontId="11" fillId="0" borderId="0" xfId="15" applyNumberFormat="1" applyAlignment="1"/>
    <xf numFmtId="0" fontId="84" fillId="0" borderId="0" xfId="0" applyFont="1"/>
    <xf numFmtId="0" fontId="80" fillId="0" borderId="19" xfId="15" applyFont="1" applyBorder="1" applyAlignment="1">
      <alignment vertical="center"/>
    </xf>
    <xf numFmtId="2" fontId="80" fillId="0" borderId="19" xfId="15" applyNumberFormat="1" applyFont="1" applyBorder="1" applyAlignment="1">
      <alignment horizontal="center"/>
    </xf>
    <xf numFmtId="4" fontId="84" fillId="7" borderId="19" xfId="0" applyNumberFormat="1" applyFont="1" applyFill="1" applyBorder="1" applyAlignment="1">
      <alignment horizontal="right" vertical="top"/>
    </xf>
    <xf numFmtId="4" fontId="85" fillId="7" borderId="19" xfId="0" applyNumberFormat="1" applyFont="1" applyFill="1" applyBorder="1" applyAlignment="1">
      <alignment horizontal="right" vertical="top"/>
    </xf>
    <xf numFmtId="2" fontId="84" fillId="7" borderId="19" xfId="15" applyNumberFormat="1" applyFont="1" applyFill="1" applyBorder="1" applyAlignment="1">
      <alignment horizontal="center" vertical="center"/>
    </xf>
    <xf numFmtId="0" fontId="89" fillId="22" borderId="19" xfId="15" applyFont="1" applyFill="1" applyBorder="1" applyAlignment="1">
      <alignment vertical="center" wrapText="1"/>
    </xf>
    <xf numFmtId="2" fontId="90" fillId="23" borderId="19" xfId="15" applyNumberFormat="1" applyFont="1" applyFill="1" applyBorder="1" applyAlignment="1">
      <alignment horizontal="center" vertical="center"/>
    </xf>
    <xf numFmtId="2" fontId="11" fillId="12" borderId="0" xfId="15" applyNumberFormat="1" applyFill="1" applyAlignment="1"/>
    <xf numFmtId="2" fontId="11" fillId="0" borderId="19" xfId="15" applyNumberFormat="1" applyBorder="1" applyAlignment="1">
      <alignment horizontal="center"/>
    </xf>
    <xf numFmtId="0" fontId="84" fillId="0" borderId="19" xfId="15" applyFont="1" applyBorder="1" applyAlignment="1">
      <alignment vertical="center" wrapText="1"/>
    </xf>
    <xf numFmtId="2" fontId="84" fillId="12" borderId="19" xfId="15" applyNumberFormat="1" applyFont="1" applyFill="1" applyBorder="1" applyAlignment="1">
      <alignment horizontal="center" vertical="center"/>
    </xf>
    <xf numFmtId="0" fontId="84" fillId="12" borderId="19" xfId="15" applyFont="1" applyFill="1" applyBorder="1" applyAlignment="1">
      <alignment vertical="top" wrapText="1"/>
    </xf>
    <xf numFmtId="0" fontId="80" fillId="12" borderId="19" xfId="15" applyFont="1" applyFill="1" applyBorder="1" applyAlignment="1">
      <alignment vertical="center"/>
    </xf>
    <xf numFmtId="2" fontId="11" fillId="12" borderId="19" xfId="15" applyNumberFormat="1" applyFill="1" applyBorder="1" applyAlignment="1">
      <alignment horizontal="center"/>
    </xf>
    <xf numFmtId="3" fontId="87" fillId="0" borderId="19" xfId="0" applyNumberFormat="1" applyFont="1" applyBorder="1" applyAlignment="1">
      <alignment horizontal="right" vertical="center" wrapText="1"/>
    </xf>
    <xf numFmtId="2" fontId="91" fillId="0" borderId="19" xfId="0" applyNumberFormat="1" applyFont="1" applyBorder="1" applyAlignment="1">
      <alignment vertical="center"/>
    </xf>
    <xf numFmtId="0" fontId="83" fillId="0" borderId="19" xfId="0" applyFont="1" applyBorder="1" applyAlignment="1">
      <alignment vertical="center" wrapText="1"/>
    </xf>
    <xf numFmtId="2" fontId="91" fillId="8" borderId="19" xfId="0" applyNumberFormat="1" applyFont="1" applyFill="1" applyBorder="1" applyAlignment="1">
      <alignment vertical="center"/>
    </xf>
    <xf numFmtId="0" fontId="92" fillId="7" borderId="27" xfId="0" applyFont="1" applyFill="1" applyBorder="1" applyAlignment="1">
      <alignment horizontal="center" vertical="center" wrapText="1"/>
    </xf>
    <xf numFmtId="2" fontId="4" fillId="24" borderId="19" xfId="7" applyNumberFormat="1" applyFill="1" applyBorder="1" applyAlignment="1">
      <alignment horizontal="left" vertical="center" wrapText="1"/>
    </xf>
    <xf numFmtId="2" fontId="4" fillId="24" borderId="19" xfId="7" applyNumberFormat="1" applyFill="1" applyBorder="1" applyAlignment="1">
      <alignment horizontal="right" vertical="center" wrapText="1"/>
    </xf>
    <xf numFmtId="2" fontId="93" fillId="0" borderId="28" xfId="7" applyNumberFormat="1" applyFont="1" applyBorder="1" applyAlignment="1">
      <alignment vertical="center" wrapText="1"/>
    </xf>
    <xf numFmtId="2" fontId="79" fillId="8" borderId="19" xfId="7" applyNumberFormat="1" applyFont="1" applyFill="1" applyBorder="1" applyAlignment="1">
      <alignment horizontal="right" wrapText="1"/>
    </xf>
    <xf numFmtId="2" fontId="4" fillId="0" borderId="19" xfId="7" applyNumberFormat="1" applyBorder="1" applyAlignment="1">
      <alignment horizontal="left" vertical="center" wrapText="1"/>
    </xf>
    <xf numFmtId="0" fontId="79" fillId="9" borderId="19" xfId="0" applyFont="1" applyFill="1" applyBorder="1" applyAlignment="1">
      <alignment horizontal="left" vertical="center" wrapText="1"/>
    </xf>
    <xf numFmtId="0" fontId="84" fillId="9" borderId="19" xfId="0" applyFont="1" applyFill="1" applyBorder="1" applyAlignment="1">
      <alignment horizontal="center" vertical="top"/>
    </xf>
    <xf numFmtId="4" fontId="83" fillId="9" borderId="19" xfId="0" applyNumberFormat="1" applyFont="1" applyFill="1" applyBorder="1" applyAlignment="1">
      <alignment horizontal="center" vertical="center"/>
    </xf>
    <xf numFmtId="0" fontId="84" fillId="4" borderId="19" xfId="0" applyFont="1" applyFill="1" applyBorder="1" applyAlignment="1">
      <alignment vertical="top" wrapText="1"/>
    </xf>
    <xf numFmtId="0" fontId="84" fillId="4" borderId="19" xfId="0" applyFont="1" applyFill="1" applyBorder="1" applyAlignment="1">
      <alignment horizontal="center" vertical="top"/>
    </xf>
    <xf numFmtId="0" fontId="80" fillId="4" borderId="19" xfId="0" applyFont="1" applyFill="1" applyBorder="1"/>
    <xf numFmtId="0" fontId="79" fillId="9" borderId="19" xfId="0" applyFont="1" applyFill="1" applyBorder="1" applyAlignment="1">
      <alignment horizontal="left" vertical="top" wrapText="1"/>
    </xf>
    <xf numFmtId="0" fontId="79" fillId="9" borderId="19" xfId="0" applyFont="1" applyFill="1" applyBorder="1" applyAlignment="1">
      <alignment horizontal="center" vertical="top"/>
    </xf>
    <xf numFmtId="0" fontId="84" fillId="0" borderId="19" xfId="0" applyFont="1" applyBorder="1" applyAlignment="1">
      <alignment horizontal="left" vertical="top" wrapText="1"/>
    </xf>
    <xf numFmtId="0" fontId="84" fillId="0" borderId="19" xfId="0" applyFont="1" applyBorder="1" applyAlignment="1">
      <alignment horizontal="center" vertical="top"/>
    </xf>
    <xf numFmtId="4" fontId="84" fillId="0" borderId="19" xfId="0" applyNumberFormat="1" applyFont="1" applyBorder="1" applyAlignment="1">
      <alignment horizontal="right" vertical="center"/>
    </xf>
    <xf numFmtId="2" fontId="94" fillId="0" borderId="19" xfId="0" applyNumberFormat="1" applyFont="1" applyBorder="1" applyAlignment="1">
      <alignment horizontal="center" vertical="center"/>
    </xf>
    <xf numFmtId="0" fontId="80" fillId="0" borderId="16" xfId="0" applyFont="1" applyBorder="1"/>
    <xf numFmtId="0" fontId="79" fillId="0" borderId="29" xfId="0" applyFont="1" applyBorder="1"/>
    <xf numFmtId="0" fontId="84" fillId="4" borderId="27" xfId="0" applyFont="1" applyFill="1" applyBorder="1" applyAlignment="1">
      <alignment horizontal="center" vertical="center"/>
    </xf>
    <xf numFmtId="0" fontId="95" fillId="0" borderId="16" xfId="0" applyFont="1" applyBorder="1" applyAlignment="1">
      <alignment wrapText="1"/>
    </xf>
    <xf numFmtId="4" fontId="0" fillId="0" borderId="0" xfId="0" applyNumberFormat="1"/>
    <xf numFmtId="0" fontId="84" fillId="4" borderId="30" xfId="0" applyFont="1" applyFill="1" applyBorder="1" applyAlignment="1">
      <alignment horizontal="center" vertical="top"/>
    </xf>
    <xf numFmtId="0" fontId="84" fillId="0" borderId="16" xfId="0" applyFont="1" applyBorder="1" applyAlignment="1">
      <alignment horizontal="left" vertical="top" wrapText="1"/>
    </xf>
    <xf numFmtId="0" fontId="84" fillId="0" borderId="16" xfId="0" applyFont="1" applyBorder="1" applyAlignment="1">
      <alignment horizontal="center" vertical="top"/>
    </xf>
    <xf numFmtId="4" fontId="83" fillId="0" borderId="16" xfId="0" applyNumberFormat="1" applyFont="1" applyBorder="1" applyAlignment="1">
      <alignment horizontal="center" vertical="center"/>
    </xf>
    <xf numFmtId="4" fontId="84" fillId="0" borderId="16" xfId="0" applyNumberFormat="1" applyFont="1" applyBorder="1" applyAlignment="1">
      <alignment horizontal="right" vertical="center"/>
    </xf>
    <xf numFmtId="0" fontId="79" fillId="0" borderId="31" xfId="0" applyFont="1" applyBorder="1"/>
    <xf numFmtId="1" fontId="78" fillId="24" borderId="23" xfId="7" applyNumberFormat="1" applyFont="1" applyFill="1" applyBorder="1" applyAlignment="1">
      <alignment horizontal="right" vertical="center" wrapText="1"/>
    </xf>
    <xf numFmtId="2" fontId="78" fillId="24" borderId="23" xfId="7" applyNumberFormat="1" applyFont="1" applyFill="1" applyBorder="1" applyAlignment="1">
      <alignment horizontal="left" vertical="center" wrapText="1"/>
    </xf>
    <xf numFmtId="2" fontId="4" fillId="24" borderId="23" xfId="7" applyNumberFormat="1" applyFill="1" applyBorder="1" applyAlignment="1">
      <alignment horizontal="left" vertical="center" wrapText="1"/>
    </xf>
    <xf numFmtId="4" fontId="78" fillId="24" borderId="23" xfId="7" applyNumberFormat="1" applyFont="1" applyFill="1" applyBorder="1" applyAlignment="1">
      <alignment horizontal="right" vertical="center" wrapText="1"/>
    </xf>
    <xf numFmtId="0" fontId="0" fillId="0" borderId="19" xfId="0" applyBorder="1" applyAlignment="1">
      <alignment horizontal="center" vertical="center"/>
    </xf>
    <xf numFmtId="0" fontId="88" fillId="0" borderId="19" xfId="31" applyFont="1" applyBorder="1" applyAlignment="1">
      <alignment vertical="center"/>
    </xf>
    <xf numFmtId="1" fontId="0" fillId="0" borderId="0" xfId="0" applyNumberFormat="1" applyAlignment="1">
      <alignment horizontal="center" vertical="center"/>
    </xf>
    <xf numFmtId="9" fontId="97" fillId="20" borderId="19" xfId="31" applyNumberFormat="1" applyFont="1" applyFill="1" applyBorder="1" applyAlignment="1">
      <alignment horizontal="center"/>
    </xf>
    <xf numFmtId="0" fontId="88" fillId="0" borderId="0" xfId="31" applyFont="1" applyAlignment="1">
      <alignment vertical="center"/>
    </xf>
    <xf numFmtId="0" fontId="88" fillId="0" borderId="19" xfId="31" applyFont="1" applyBorder="1" applyAlignment="1">
      <alignment vertical="top" wrapText="1"/>
    </xf>
    <xf numFmtId="0" fontId="96" fillId="20" borderId="19" xfId="31" applyFill="1" applyBorder="1" applyAlignment="1">
      <alignment horizontal="center"/>
    </xf>
    <xf numFmtId="0" fontId="84" fillId="0" borderId="19" xfId="8" applyFont="1" applyBorder="1" applyAlignment="1">
      <alignment vertical="center"/>
    </xf>
    <xf numFmtId="2" fontId="96" fillId="20" borderId="19" xfId="31" applyNumberFormat="1" applyFill="1" applyBorder="1" applyAlignment="1">
      <alignment horizontal="center" wrapText="1"/>
    </xf>
    <xf numFmtId="0" fontId="88" fillId="0" borderId="0" xfId="8" applyFont="1" applyAlignment="1">
      <alignment vertical="center"/>
    </xf>
    <xf numFmtId="0" fontId="0" fillId="7" borderId="19" xfId="0" applyFill="1" applyBorder="1" applyAlignment="1">
      <alignment horizontal="center" vertical="center"/>
    </xf>
    <xf numFmtId="0" fontId="84" fillId="7" borderId="19" xfId="8" applyFont="1" applyFill="1" applyBorder="1"/>
    <xf numFmtId="0" fontId="0" fillId="7" borderId="0" xfId="0" applyFill="1"/>
    <xf numFmtId="1" fontId="0" fillId="7" borderId="0" xfId="0" applyNumberFormat="1" applyFill="1" applyAlignment="1">
      <alignment horizontal="center" vertical="center"/>
    </xf>
    <xf numFmtId="2" fontId="99" fillId="7" borderId="19" xfId="31" applyNumberFormat="1" applyFont="1" applyFill="1" applyBorder="1" applyAlignment="1">
      <alignment horizontal="center" wrapText="1"/>
    </xf>
    <xf numFmtId="0" fontId="88" fillId="7" borderId="0" xfId="8" applyFont="1" applyFill="1" applyAlignment="1">
      <alignment vertical="center"/>
    </xf>
    <xf numFmtId="0" fontId="100" fillId="0" borderId="0" xfId="8" applyFont="1"/>
    <xf numFmtId="0" fontId="3" fillId="0" borderId="17" xfId="1" applyFill="1" applyBorder="1" applyAlignment="1" applyProtection="1"/>
    <xf numFmtId="0" fontId="4" fillId="0" borderId="0" xfId="13"/>
    <xf numFmtId="0" fontId="20" fillId="0" borderId="19" xfId="0" applyFont="1" applyBorder="1" applyAlignment="1">
      <alignment horizontal="left" vertical="center" wrapText="1"/>
    </xf>
    <xf numFmtId="0" fontId="20" fillId="0" borderId="32" xfId="0" applyFont="1" applyBorder="1" applyAlignment="1">
      <alignment vertical="center" wrapText="1"/>
    </xf>
    <xf numFmtId="0" fontId="41" fillId="0" borderId="32" xfId="0" applyFont="1" applyBorder="1" applyAlignment="1">
      <alignment vertical="center" wrapText="1"/>
    </xf>
    <xf numFmtId="0" fontId="103" fillId="0" borderId="32" xfId="0" applyFont="1" applyBorder="1" applyAlignment="1" applyProtection="1">
      <alignment vertical="center" wrapText="1"/>
      <protection locked="0"/>
    </xf>
    <xf numFmtId="0" fontId="0" fillId="0" borderId="32" xfId="0" applyBorder="1" applyAlignment="1" applyProtection="1">
      <alignment horizontal="left" vertical="center" wrapText="1"/>
      <protection locked="0"/>
    </xf>
    <xf numFmtId="0" fontId="0" fillId="0" borderId="32" xfId="0" applyBorder="1" applyAlignment="1" applyProtection="1">
      <alignment horizontal="center" vertical="center" wrapText="1"/>
      <protection locked="0"/>
    </xf>
    <xf numFmtId="0" fontId="0" fillId="0" borderId="32" xfId="0" applyBorder="1" applyAlignment="1">
      <alignment vertical="center" wrapText="1"/>
    </xf>
    <xf numFmtId="0" fontId="106" fillId="0" borderId="0" xfId="15" applyFont="1" applyAlignment="1"/>
    <xf numFmtId="0" fontId="79" fillId="0" borderId="0" xfId="0" applyFont="1" applyAlignment="1">
      <alignment horizontal="centerContinuous"/>
    </xf>
    <xf numFmtId="2" fontId="106" fillId="0" borderId="0" xfId="15" applyNumberFormat="1" applyFont="1" applyAlignment="1"/>
    <xf numFmtId="0" fontId="79" fillId="0" borderId="0" xfId="15" applyFont="1" applyAlignment="1">
      <alignment vertical="top"/>
    </xf>
    <xf numFmtId="0" fontId="80" fillId="0" borderId="0" xfId="15" applyFont="1" applyAlignment="1"/>
    <xf numFmtId="0" fontId="107" fillId="25" borderId="33" xfId="15" applyFont="1" applyFill="1" applyBorder="1" applyAlignment="1">
      <alignment horizontal="center"/>
    </xf>
    <xf numFmtId="0" fontId="79" fillId="8" borderId="34" xfId="15" applyFont="1" applyFill="1" applyBorder="1" applyAlignment="1">
      <alignment horizontal="center" vertical="center" wrapText="1"/>
    </xf>
    <xf numFmtId="0" fontId="79" fillId="25" borderId="34" xfId="15" applyFont="1" applyFill="1" applyBorder="1" applyAlignment="1">
      <alignment horizontal="center" vertical="center" wrapText="1"/>
    </xf>
    <xf numFmtId="167" fontId="93" fillId="26" borderId="34" xfId="15" applyNumberFormat="1" applyFont="1" applyFill="1" applyBorder="1" applyAlignment="1">
      <alignment horizontal="center" vertical="top"/>
    </xf>
    <xf numFmtId="0" fontId="80" fillId="26" borderId="34" xfId="15" applyFont="1" applyFill="1" applyBorder="1" applyAlignment="1"/>
    <xf numFmtId="0" fontId="11" fillId="26" borderId="34" xfId="15" applyFill="1" applyBorder="1" applyAlignment="1"/>
    <xf numFmtId="0" fontId="84" fillId="0" borderId="34" xfId="15" applyFont="1" applyBorder="1" applyAlignment="1">
      <alignment horizontal="center" vertical="top"/>
    </xf>
    <xf numFmtId="0" fontId="84" fillId="0" borderId="34" xfId="15" applyFont="1" applyBorder="1" applyAlignment="1">
      <alignment vertical="top" wrapText="1"/>
    </xf>
    <xf numFmtId="0" fontId="84" fillId="0" borderId="34" xfId="15" applyFont="1" applyBorder="1" applyAlignment="1">
      <alignment horizontal="center" vertical="center"/>
    </xf>
    <xf numFmtId="1" fontId="84" fillId="0" borderId="34" xfId="15" applyNumberFormat="1" applyFont="1" applyBorder="1" applyAlignment="1">
      <alignment horizontal="center" vertical="center"/>
    </xf>
    <xf numFmtId="2" fontId="84" fillId="27" borderId="34" xfId="15" applyNumberFormat="1" applyFont="1" applyFill="1" applyBorder="1" applyAlignment="1">
      <alignment horizontal="center" vertical="center"/>
    </xf>
    <xf numFmtId="2" fontId="84" fillId="0" borderId="34" xfId="15" applyNumberFormat="1" applyFont="1" applyBorder="1" applyAlignment="1">
      <alignment horizontal="center" vertical="center"/>
    </xf>
    <xf numFmtId="0" fontId="80" fillId="0" borderId="34" xfId="15" applyFont="1" applyBorder="1" applyAlignment="1">
      <alignment vertical="center"/>
    </xf>
    <xf numFmtId="0" fontId="11" fillId="0" borderId="34" xfId="15" applyBorder="1" applyAlignment="1"/>
    <xf numFmtId="0" fontId="84" fillId="12" borderId="34" xfId="15" applyFont="1" applyFill="1" applyBorder="1" applyAlignment="1">
      <alignment vertical="top" wrapText="1"/>
    </xf>
    <xf numFmtId="0" fontId="84" fillId="12" borderId="34" xfId="15" applyFont="1" applyFill="1" applyBorder="1" applyAlignment="1">
      <alignment horizontal="center" vertical="center"/>
    </xf>
    <xf numFmtId="2" fontId="84" fillId="12" borderId="34" xfId="15" applyNumberFormat="1" applyFont="1" applyFill="1" applyBorder="1" applyAlignment="1">
      <alignment horizontal="center" vertical="center"/>
    </xf>
    <xf numFmtId="0" fontId="80" fillId="12" borderId="34" xfId="15" applyFont="1" applyFill="1" applyBorder="1" applyAlignment="1">
      <alignment vertical="center" wrapText="1"/>
    </xf>
    <xf numFmtId="2" fontId="108" fillId="23" borderId="34" xfId="15" applyNumberFormat="1" applyFont="1" applyFill="1" applyBorder="1" applyAlignment="1">
      <alignment horizontal="center" vertical="center"/>
    </xf>
    <xf numFmtId="0" fontId="89" fillId="22" borderId="34" xfId="15" applyFont="1" applyFill="1" applyBorder="1" applyAlignment="1">
      <alignment vertical="center" wrapText="1"/>
    </xf>
    <xf numFmtId="2" fontId="90" fillId="23" borderId="34" xfId="15" applyNumberFormat="1" applyFont="1" applyFill="1" applyBorder="1" applyAlignment="1">
      <alignment horizontal="center" vertical="center"/>
    </xf>
    <xf numFmtId="2" fontId="11" fillId="0" borderId="34" xfId="15" applyNumberFormat="1" applyBorder="1" applyAlignment="1">
      <alignment horizontal="center"/>
    </xf>
    <xf numFmtId="0" fontId="84" fillId="0" borderId="34" xfId="15" applyFont="1" applyBorder="1" applyAlignment="1">
      <alignment vertical="center" wrapText="1"/>
    </xf>
    <xf numFmtId="2" fontId="80" fillId="0" borderId="34" xfId="15" applyNumberFormat="1" applyFont="1" applyBorder="1" applyAlignment="1">
      <alignment horizontal="center"/>
    </xf>
    <xf numFmtId="2" fontId="84" fillId="22" borderId="34" xfId="15" applyNumberFormat="1" applyFont="1" applyFill="1" applyBorder="1" applyAlignment="1">
      <alignment horizontal="center" vertical="center"/>
    </xf>
    <xf numFmtId="3" fontId="93" fillId="26" borderId="34" xfId="15" applyNumberFormat="1" applyFont="1" applyFill="1" applyBorder="1" applyAlignment="1">
      <alignment horizontal="center" vertical="top"/>
    </xf>
    <xf numFmtId="2" fontId="11" fillId="26" borderId="34" xfId="15" applyNumberFormat="1" applyFill="1" applyBorder="1" applyAlignment="1">
      <alignment horizontal="center"/>
    </xf>
    <xf numFmtId="0" fontId="84" fillId="12" borderId="34" xfId="15" applyFont="1" applyFill="1" applyBorder="1" applyAlignment="1">
      <alignment horizontal="center" vertical="top"/>
    </xf>
    <xf numFmtId="0" fontId="84" fillId="0" borderId="34" xfId="15" applyFont="1" applyBorder="1" applyAlignment="1">
      <alignment horizontal="left" vertical="top" wrapText="1"/>
    </xf>
    <xf numFmtId="0" fontId="80" fillId="0" borderId="34" xfId="15" applyFont="1" applyBorder="1" applyAlignment="1"/>
    <xf numFmtId="0" fontId="89" fillId="0" borderId="34" xfId="15" applyFont="1" applyBorder="1" applyAlignment="1">
      <alignment wrapText="1"/>
    </xf>
    <xf numFmtId="0" fontId="94" fillId="28" borderId="34" xfId="0" applyFont="1" applyFill="1" applyBorder="1" applyAlignment="1">
      <alignment horizontal="center" wrapText="1"/>
    </xf>
    <xf numFmtId="165" fontId="109" fillId="12" borderId="34" xfId="15" applyNumberFormat="1" applyFont="1" applyFill="1" applyBorder="1" applyAlignment="1">
      <alignment horizontal="center" vertical="center" wrapText="1"/>
    </xf>
    <xf numFmtId="0" fontId="89" fillId="0" borderId="34" xfId="15" applyFont="1" applyBorder="1" applyAlignment="1">
      <alignment horizontal="center" vertical="center" wrapText="1"/>
    </xf>
    <xf numFmtId="4" fontId="93" fillId="29" borderId="34" xfId="15" applyNumberFormat="1" applyFont="1" applyFill="1" applyBorder="1" applyAlignment="1">
      <alignment horizontal="center" vertical="top"/>
    </xf>
    <xf numFmtId="4" fontId="11" fillId="0" borderId="0" xfId="15" applyNumberFormat="1" applyAlignment="1"/>
    <xf numFmtId="0" fontId="110" fillId="0" borderId="0" xfId="15" applyFont="1" applyAlignment="1">
      <alignment horizontal="center" vertical="center"/>
    </xf>
    <xf numFmtId="0" fontId="88" fillId="0" borderId="35" xfId="31" applyFont="1" applyBorder="1" applyAlignment="1">
      <alignment vertical="center"/>
    </xf>
    <xf numFmtId="9" fontId="111" fillId="30" borderId="33" xfId="31" applyNumberFormat="1" applyFont="1" applyFill="1" applyBorder="1" applyAlignment="1">
      <alignment horizontal="center"/>
    </xf>
    <xf numFmtId="0" fontId="105" fillId="31" borderId="33" xfId="31" applyFont="1" applyFill="1" applyBorder="1" applyAlignment="1">
      <alignment horizontal="center"/>
    </xf>
    <xf numFmtId="0" fontId="84" fillId="0" borderId="0" xfId="8" applyFont="1"/>
    <xf numFmtId="0" fontId="84" fillId="0" borderId="35" xfId="8" applyFont="1" applyBorder="1"/>
    <xf numFmtId="0" fontId="112" fillId="31" borderId="33" xfId="31" applyFont="1" applyFill="1" applyBorder="1" applyAlignment="1">
      <alignment horizontal="center"/>
    </xf>
    <xf numFmtId="0" fontId="3" fillId="0" borderId="36" xfId="1" applyNumberFormat="1" applyFill="1" applyBorder="1" applyAlignment="1" applyProtection="1"/>
    <xf numFmtId="165" fontId="30" fillId="13" borderId="12" xfId="2" applyNumberFormat="1" applyFont="1" applyFill="1" applyBorder="1"/>
    <xf numFmtId="165" fontId="23" fillId="13" borderId="12" xfId="2" applyNumberFormat="1" applyFont="1" applyFill="1" applyBorder="1"/>
    <xf numFmtId="1" fontId="30" fillId="13" borderId="12" xfId="2" applyNumberFormat="1" applyFont="1" applyFill="1" applyBorder="1"/>
    <xf numFmtId="0" fontId="46" fillId="0" borderId="32" xfId="2" applyFont="1" applyBorder="1" applyAlignment="1">
      <alignment horizontal="right" vertical="top"/>
    </xf>
    <xf numFmtId="0" fontId="23" fillId="0" borderId="37" xfId="2" applyFont="1" applyBorder="1" applyAlignment="1">
      <alignment horizontal="left" vertical="top" wrapText="1"/>
    </xf>
    <xf numFmtId="1" fontId="53" fillId="13" borderId="12" xfId="2" applyNumberFormat="1" applyFont="1" applyFill="1" applyBorder="1" applyAlignment="1">
      <alignment horizontal="center" vertical="center" shrinkToFit="1"/>
    </xf>
    <xf numFmtId="1" fontId="53" fillId="13" borderId="16" xfId="2" applyNumberFormat="1" applyFont="1" applyFill="1" applyBorder="1" applyAlignment="1">
      <alignment horizontal="center" vertical="center" shrinkToFit="1"/>
    </xf>
    <xf numFmtId="0" fontId="23" fillId="13" borderId="12" xfId="0" applyFont="1" applyFill="1" applyBorder="1" applyAlignment="1">
      <alignment horizontal="center" vertical="center"/>
    </xf>
    <xf numFmtId="1" fontId="30" fillId="13" borderId="1" xfId="2" applyNumberFormat="1" applyFont="1" applyFill="1" applyBorder="1" applyAlignment="1">
      <alignment horizontal="center"/>
    </xf>
    <xf numFmtId="0" fontId="53" fillId="0" borderId="38" xfId="2" applyFont="1" applyBorder="1" applyAlignment="1">
      <alignment wrapText="1"/>
    </xf>
    <xf numFmtId="1" fontId="53" fillId="13" borderId="38" xfId="2" applyNumberFormat="1" applyFont="1" applyFill="1" applyBorder="1" applyAlignment="1">
      <alignment horizontal="center" vertical="center" shrinkToFit="1"/>
    </xf>
    <xf numFmtId="49" fontId="41" fillId="7" borderId="39" xfId="0" applyNumberFormat="1" applyFont="1" applyFill="1" applyBorder="1" applyAlignment="1">
      <alignment horizontal="left" vertical="center" wrapText="1"/>
    </xf>
    <xf numFmtId="9" fontId="41" fillId="7" borderId="39" xfId="0" applyNumberFormat="1" applyFont="1" applyFill="1" applyBorder="1" applyAlignment="1">
      <alignment horizontal="left" vertical="center" wrapText="1"/>
    </xf>
    <xf numFmtId="49" fontId="41" fillId="7" borderId="39" xfId="0" applyNumberFormat="1" applyFont="1" applyFill="1" applyBorder="1" applyAlignment="1">
      <alignment horizontal="center" vertical="center" wrapText="1"/>
    </xf>
    <xf numFmtId="49" fontId="114" fillId="7" borderId="39" xfId="0" applyNumberFormat="1" applyFont="1" applyFill="1" applyBorder="1" applyAlignment="1">
      <alignment horizontal="left" vertical="center" wrapText="1"/>
    </xf>
    <xf numFmtId="49" fontId="114" fillId="7" borderId="39" xfId="0" applyNumberFormat="1" applyFont="1" applyFill="1" applyBorder="1" applyAlignment="1">
      <alignment horizontal="center" vertical="center"/>
    </xf>
    <xf numFmtId="49" fontId="41" fillId="0" borderId="39" xfId="0" applyNumberFormat="1" applyFont="1" applyBorder="1" applyAlignment="1">
      <alignment horizontal="center" vertical="center"/>
    </xf>
    <xf numFmtId="49" fontId="41" fillId="7" borderId="39" xfId="0" applyNumberFormat="1" applyFont="1" applyFill="1" applyBorder="1" applyAlignment="1">
      <alignment horizontal="center" vertical="center"/>
    </xf>
    <xf numFmtId="49" fontId="42" fillId="0" borderId="39" xfId="0" applyNumberFormat="1" applyFont="1" applyBorder="1" applyAlignment="1">
      <alignment horizontal="left" vertical="center" wrapText="1"/>
    </xf>
    <xf numFmtId="49" fontId="41" fillId="0" borderId="39" xfId="0" applyNumberFormat="1" applyFont="1" applyBorder="1" applyAlignment="1">
      <alignment horizontal="left" vertical="center" wrapText="1"/>
    </xf>
    <xf numFmtId="49" fontId="41" fillId="0" borderId="39" xfId="0" applyNumberFormat="1" applyFont="1" applyBorder="1" applyAlignment="1">
      <alignment horizontal="center" vertical="center" wrapText="1"/>
    </xf>
    <xf numFmtId="0" fontId="23" fillId="0" borderId="32" xfId="0" applyFont="1" applyBorder="1" applyAlignment="1">
      <alignment horizontal="left" vertical="center" wrapText="1"/>
    </xf>
    <xf numFmtId="0" fontId="23" fillId="0" borderId="32" xfId="0" applyFont="1" applyBorder="1" applyAlignment="1">
      <alignment vertical="center" wrapText="1"/>
    </xf>
    <xf numFmtId="49" fontId="114" fillId="0" borderId="39" xfId="0" applyNumberFormat="1" applyFont="1" applyBorder="1" applyAlignment="1">
      <alignment horizontal="center" vertical="center" wrapText="1"/>
    </xf>
    <xf numFmtId="0" fontId="20" fillId="7" borderId="39" xfId="27" applyFont="1" applyFill="1" applyBorder="1" applyAlignment="1">
      <alignment horizontal="left" vertical="center" wrapText="1"/>
    </xf>
    <xf numFmtId="0" fontId="20" fillId="7" borderId="39" xfId="32" applyFont="1" applyFill="1" applyBorder="1" applyAlignment="1">
      <alignment horizontal="left" vertical="center" wrapText="1"/>
    </xf>
    <xf numFmtId="0" fontId="41" fillId="0" borderId="39" xfId="27" applyFont="1" applyBorder="1" applyAlignment="1">
      <alignment horizontal="center" vertical="center" shrinkToFit="1"/>
    </xf>
    <xf numFmtId="0" fontId="23" fillId="0" borderId="32" xfId="0" applyFont="1" applyBorder="1" applyAlignment="1">
      <alignment horizontal="center" vertical="center" shrinkToFit="1"/>
    </xf>
    <xf numFmtId="0" fontId="29" fillId="0" borderId="0" xfId="0" applyFont="1" applyAlignment="1">
      <alignment vertical="center"/>
    </xf>
    <xf numFmtId="49" fontId="23" fillId="0" borderId="12" xfId="0" applyNumberFormat="1" applyFont="1" applyBorder="1" applyAlignment="1">
      <alignment horizontal="center" vertical="center"/>
    </xf>
    <xf numFmtId="3" fontId="23" fillId="0" borderId="12" xfId="0" applyNumberFormat="1" applyFont="1" applyBorder="1" applyAlignment="1">
      <alignment horizontal="center" vertical="center" shrinkToFit="1"/>
    </xf>
    <xf numFmtId="0" fontId="35" fillId="0" borderId="0" xfId="11" applyFont="1" applyAlignment="1">
      <alignment horizontal="center" vertical="center"/>
    </xf>
    <xf numFmtId="0" fontId="35" fillId="0" borderId="0" xfId="11" applyFont="1" applyAlignment="1">
      <alignment vertical="center"/>
    </xf>
    <xf numFmtId="3" fontId="35" fillId="0" borderId="0" xfId="11" applyNumberFormat="1" applyFont="1" applyAlignment="1">
      <alignment vertical="center" shrinkToFit="1"/>
    </xf>
    <xf numFmtId="3" fontId="36" fillId="12" borderId="0" xfId="11" applyNumberFormat="1" applyFont="1" applyFill="1" applyAlignment="1">
      <alignment vertical="center" shrinkToFit="1"/>
    </xf>
    <xf numFmtId="0" fontId="119" fillId="0" borderId="0" xfId="0" applyFont="1" applyAlignment="1">
      <alignment vertical="center"/>
    </xf>
    <xf numFmtId="0" fontId="0" fillId="0" borderId="32" xfId="0" applyBorder="1" applyAlignment="1" applyProtection="1">
      <alignment vertical="center" wrapText="1"/>
      <protection locked="0"/>
    </xf>
    <xf numFmtId="0" fontId="103" fillId="7" borderId="32" xfId="0" applyFont="1" applyFill="1" applyBorder="1" applyAlignment="1">
      <alignment vertical="center" wrapText="1"/>
    </xf>
    <xf numFmtId="0" fontId="0" fillId="7" borderId="32" xfId="0" applyFill="1" applyBorder="1" applyAlignment="1">
      <alignment vertical="center" wrapText="1"/>
    </xf>
    <xf numFmtId="0" fontId="0" fillId="4" borderId="32" xfId="0" applyFill="1" applyBorder="1" applyAlignment="1">
      <alignment horizontal="left" vertical="center" wrapText="1"/>
    </xf>
    <xf numFmtId="0" fontId="0" fillId="0" borderId="32" xfId="0" applyBorder="1" applyAlignment="1">
      <alignment horizontal="center" vertical="center" wrapText="1"/>
    </xf>
    <xf numFmtId="49" fontId="20" fillId="0" borderId="32" xfId="0" applyNumberFormat="1" applyFont="1" applyBorder="1" applyAlignment="1">
      <alignment vertical="center" wrapText="1" readingOrder="1"/>
    </xf>
    <xf numFmtId="0" fontId="0" fillId="7" borderId="32" xfId="0" applyFill="1" applyBorder="1" applyAlignment="1">
      <alignment horizontal="left" vertical="top" wrapText="1"/>
    </xf>
    <xf numFmtId="0" fontId="8" fillId="7" borderId="32" xfId="0" applyFont="1" applyFill="1" applyBorder="1" applyAlignment="1">
      <alignment horizontal="center" vertical="center" wrapText="1"/>
    </xf>
    <xf numFmtId="49" fontId="114" fillId="0" borderId="39" xfId="0" applyNumberFormat="1" applyFont="1" applyBorder="1" applyAlignment="1">
      <alignment horizontal="left" vertical="center" wrapText="1"/>
    </xf>
    <xf numFmtId="0" fontId="20" fillId="0" borderId="32" xfId="0" applyFont="1" applyBorder="1" applyAlignment="1">
      <alignment horizontal="left" vertical="top" wrapText="1"/>
    </xf>
    <xf numFmtId="0" fontId="20" fillId="0" borderId="32" xfId="0" applyFont="1" applyBorder="1" applyAlignment="1">
      <alignment horizontal="center" vertical="center" shrinkToFit="1"/>
    </xf>
    <xf numFmtId="3" fontId="23" fillId="7" borderId="12" xfId="0" applyNumberFormat="1" applyFont="1" applyFill="1" applyBorder="1" applyAlignment="1">
      <alignment horizontal="center" vertical="center" shrinkToFit="1"/>
    </xf>
    <xf numFmtId="0" fontId="20" fillId="0" borderId="32" xfId="0" applyFont="1" applyBorder="1" applyAlignment="1" applyProtection="1">
      <alignment horizontal="center" vertical="center" wrapText="1"/>
      <protection locked="0"/>
    </xf>
    <xf numFmtId="49" fontId="124" fillId="0" borderId="32" xfId="0" applyNumberFormat="1" applyFont="1" applyBorder="1" applyAlignment="1">
      <alignment horizontal="center" vertical="center" shrinkToFit="1"/>
    </xf>
    <xf numFmtId="0" fontId="125" fillId="0" borderId="0" xfId="0" applyFont="1" applyAlignment="1" applyProtection="1">
      <alignment vertical="center"/>
      <protection locked="0"/>
    </xf>
    <xf numFmtId="0" fontId="114" fillId="0" borderId="32" xfId="0" applyFont="1" applyBorder="1" applyAlignment="1">
      <alignment vertical="center" wrapText="1"/>
    </xf>
    <xf numFmtId="49" fontId="124" fillId="0" borderId="27" xfId="0" applyNumberFormat="1" applyFont="1" applyBorder="1" applyAlignment="1" applyProtection="1">
      <alignment horizontal="center" vertical="center" shrinkToFit="1"/>
      <protection locked="0"/>
    </xf>
    <xf numFmtId="0" fontId="124" fillId="0" borderId="32" xfId="0" applyFont="1" applyBorder="1" applyAlignment="1">
      <alignment vertical="center" wrapText="1"/>
    </xf>
    <xf numFmtId="0" fontId="124" fillId="0" borderId="32" xfId="0" applyFont="1" applyBorder="1" applyAlignment="1">
      <alignment horizontal="left" vertical="center" wrapText="1"/>
    </xf>
    <xf numFmtId="0" fontId="124" fillId="0" borderId="32" xfId="0" applyFont="1" applyBorder="1" applyAlignment="1">
      <alignment horizontal="center" vertical="center" shrinkToFit="1"/>
    </xf>
    <xf numFmtId="0" fontId="124" fillId="0" borderId="32" xfId="0" applyFont="1" applyBorder="1" applyAlignment="1" applyProtection="1">
      <alignment horizontal="left" vertical="center" wrapText="1"/>
      <protection locked="0"/>
    </xf>
    <xf numFmtId="0" fontId="124" fillId="0" borderId="32" xfId="0" applyFont="1" applyBorder="1" applyAlignment="1">
      <alignment horizontal="center" vertical="center"/>
    </xf>
    <xf numFmtId="0" fontId="123" fillId="7" borderId="32" xfId="0" applyFont="1" applyFill="1" applyBorder="1" applyAlignment="1">
      <alignment horizontal="left" vertical="top" wrapText="1"/>
    </xf>
    <xf numFmtId="0" fontId="0" fillId="0" borderId="32" xfId="0" applyBorder="1" applyAlignment="1">
      <alignment vertical="center"/>
    </xf>
    <xf numFmtId="4" fontId="0" fillId="0" borderId="32" xfId="0" applyNumberFormat="1" applyBorder="1" applyAlignment="1">
      <alignment vertical="center"/>
    </xf>
    <xf numFmtId="0" fontId="0" fillId="0" borderId="3" xfId="0" applyBorder="1" applyAlignment="1">
      <alignment horizontal="center" vertical="center"/>
    </xf>
    <xf numFmtId="4" fontId="0" fillId="0" borderId="3" xfId="0" applyNumberFormat="1" applyBorder="1" applyAlignment="1">
      <alignment vertical="center"/>
    </xf>
    <xf numFmtId="4" fontId="0" fillId="0" borderId="4" xfId="0" applyNumberFormat="1" applyBorder="1" applyAlignment="1">
      <alignment vertical="center"/>
    </xf>
    <xf numFmtId="4" fontId="0" fillId="0" borderId="29" xfId="0" applyNumberFormat="1" applyBorder="1" applyAlignment="1">
      <alignment vertical="center"/>
    </xf>
    <xf numFmtId="4" fontId="0" fillId="0" borderId="8" xfId="0" applyNumberFormat="1" applyBorder="1" applyAlignment="1">
      <alignment vertical="center"/>
    </xf>
    <xf numFmtId="4" fontId="0" fillId="0" borderId="9" xfId="0" applyNumberFormat="1" applyBorder="1" applyAlignment="1">
      <alignment vertical="center"/>
    </xf>
    <xf numFmtId="0" fontId="0" fillId="0" borderId="8" xfId="0" applyBorder="1" applyAlignment="1">
      <alignment horizontal="center" vertical="center"/>
    </xf>
    <xf numFmtId="3" fontId="19" fillId="33" borderId="12" xfId="0" applyNumberFormat="1" applyFont="1" applyFill="1" applyBorder="1" applyAlignment="1">
      <alignment horizontal="right" vertical="center"/>
    </xf>
    <xf numFmtId="165" fontId="19" fillId="13" borderId="12" xfId="0" applyNumberFormat="1" applyFont="1" applyFill="1" applyBorder="1" applyAlignment="1">
      <alignment horizontal="right" vertical="center"/>
    </xf>
    <xf numFmtId="0" fontId="115" fillId="7" borderId="32"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4" fontId="0" fillId="0" borderId="0" xfId="0" applyNumberFormat="1" applyAlignment="1">
      <alignment vertical="center"/>
    </xf>
    <xf numFmtId="3" fontId="30" fillId="33" borderId="12" xfId="2" applyNumberFormat="1" applyFont="1" applyFill="1" applyBorder="1"/>
    <xf numFmtId="3" fontId="44" fillId="33" borderId="12" xfId="2" applyNumberFormat="1" applyFont="1" applyFill="1" applyBorder="1"/>
    <xf numFmtId="3" fontId="44" fillId="0" borderId="12" xfId="2" applyNumberFormat="1" applyFont="1" applyBorder="1"/>
    <xf numFmtId="165" fontId="23" fillId="0" borderId="12" xfId="2" applyNumberFormat="1" applyFont="1" applyBorder="1"/>
    <xf numFmtId="3" fontId="21" fillId="33" borderId="12" xfId="2" applyNumberFormat="1" applyFont="1" applyFill="1" applyBorder="1" applyAlignment="1">
      <alignment vertical="center" shrinkToFit="1"/>
    </xf>
    <xf numFmtId="3" fontId="21" fillId="33" borderId="16" xfId="2" applyNumberFormat="1" applyFont="1" applyFill="1" applyBorder="1" applyAlignment="1">
      <alignment vertical="center" shrinkToFit="1"/>
    </xf>
    <xf numFmtId="3" fontId="23" fillId="33" borderId="12" xfId="0" applyNumberFormat="1" applyFont="1" applyFill="1" applyBorder="1" applyAlignment="1">
      <alignment vertical="center"/>
    </xf>
    <xf numFmtId="0" fontId="128" fillId="0" borderId="0" xfId="2" applyFont="1"/>
    <xf numFmtId="0" fontId="73" fillId="0" borderId="0" xfId="2" applyFont="1"/>
    <xf numFmtId="49" fontId="114" fillId="0" borderId="101" xfId="0" applyNumberFormat="1" applyFont="1" applyBorder="1" applyAlignment="1">
      <alignment vertical="center" wrapText="1"/>
    </xf>
    <xf numFmtId="49" fontId="41" fillId="0" borderId="101" xfId="0" applyNumberFormat="1" applyFont="1" applyBorder="1" applyAlignment="1">
      <alignment vertical="center" wrapText="1"/>
    </xf>
    <xf numFmtId="0" fontId="41" fillId="0" borderId="102" xfId="0" applyFont="1" applyBorder="1" applyAlignment="1">
      <alignment vertical="center" wrapText="1"/>
    </xf>
    <xf numFmtId="0" fontId="20" fillId="0" borderId="103" xfId="0" applyFont="1" applyBorder="1" applyAlignment="1">
      <alignment vertical="center" wrapText="1"/>
    </xf>
    <xf numFmtId="0" fontId="116" fillId="0" borderId="102" xfId="0" applyFont="1" applyBorder="1" applyAlignment="1">
      <alignment vertical="center" wrapText="1"/>
    </xf>
    <xf numFmtId="0" fontId="20" fillId="0" borderId="102" xfId="0" applyFont="1" applyBorder="1" applyAlignment="1">
      <alignment vertical="center" wrapText="1"/>
    </xf>
    <xf numFmtId="0" fontId="0" fillId="0" borderId="102" xfId="0" applyBorder="1" applyAlignment="1">
      <alignment vertical="center" wrapText="1"/>
    </xf>
    <xf numFmtId="0" fontId="114" fillId="0" borderId="102" xfId="0" applyFont="1" applyBorder="1" applyAlignment="1">
      <alignment vertical="center" wrapText="1"/>
    </xf>
    <xf numFmtId="0" fontId="124" fillId="0" borderId="102" xfId="0" applyFont="1" applyBorder="1" applyAlignment="1">
      <alignment vertical="center" wrapText="1"/>
    </xf>
    <xf numFmtId="0" fontId="114" fillId="0" borderId="102" xfId="0" applyFont="1" applyBorder="1" applyAlignment="1">
      <alignment horizontal="left" vertical="center" wrapText="1"/>
    </xf>
    <xf numFmtId="49" fontId="20" fillId="0" borderId="102" xfId="0" applyNumberFormat="1" applyFont="1" applyBorder="1" applyAlignment="1">
      <alignment vertical="center" wrapText="1" readingOrder="1"/>
    </xf>
    <xf numFmtId="0" fontId="20" fillId="0" borderId="102" xfId="0" applyFont="1" applyBorder="1" applyAlignment="1">
      <alignment horizontal="left" vertical="center" wrapText="1"/>
    </xf>
    <xf numFmtId="0" fontId="0" fillId="0" borderId="106" xfId="0" applyBorder="1" applyAlignment="1">
      <alignment vertical="center" wrapText="1"/>
    </xf>
    <xf numFmtId="0" fontId="0" fillId="0" borderId="106" xfId="0" applyBorder="1" applyAlignment="1">
      <alignment vertical="center"/>
    </xf>
    <xf numFmtId="0" fontId="20" fillId="0" borderId="32" xfId="0" applyFont="1" applyBorder="1"/>
    <xf numFmtId="0" fontId="115" fillId="0" borderId="32" xfId="0" applyFont="1" applyBorder="1" applyAlignment="1">
      <alignment vertical="center" wrapText="1"/>
    </xf>
    <xf numFmtId="0" fontId="20" fillId="0" borderId="32" xfId="0" applyFont="1" applyBorder="1" applyAlignment="1">
      <alignment horizontal="left" vertical="center" wrapText="1"/>
    </xf>
    <xf numFmtId="3" fontId="61" fillId="7" borderId="0" xfId="0" applyNumberFormat="1" applyFont="1" applyFill="1" applyAlignment="1">
      <alignment horizontal="center" vertical="center" wrapText="1"/>
    </xf>
    <xf numFmtId="49" fontId="20" fillId="8" borderId="12" xfId="0" applyNumberFormat="1" applyFont="1" applyFill="1" applyBorder="1" applyAlignment="1">
      <alignment horizontal="center" vertical="center" wrapText="1"/>
    </xf>
    <xf numFmtId="0" fontId="20" fillId="8" borderId="12" xfId="0" applyFont="1" applyFill="1" applyBorder="1" applyAlignment="1">
      <alignment horizontal="center" vertical="center" wrapText="1"/>
    </xf>
    <xf numFmtId="0" fontId="23" fillId="8" borderId="12" xfId="0" applyFont="1" applyFill="1" applyBorder="1" applyAlignment="1">
      <alignment horizontal="center" vertical="center" wrapText="1"/>
    </xf>
    <xf numFmtId="0" fontId="29" fillId="8" borderId="12" xfId="0" applyFont="1" applyFill="1" applyBorder="1" applyAlignment="1">
      <alignment horizontal="center" vertical="center" wrapText="1"/>
    </xf>
    <xf numFmtId="0" fontId="39" fillId="8" borderId="12" xfId="0" applyFont="1" applyFill="1" applyBorder="1" applyAlignment="1">
      <alignment horizontal="center" vertical="center" wrapText="1"/>
    </xf>
    <xf numFmtId="49" fontId="39" fillId="9" borderId="12" xfId="0" applyNumberFormat="1" applyFont="1" applyFill="1" applyBorder="1" applyAlignment="1">
      <alignment horizontal="center" vertical="center"/>
    </xf>
    <xf numFmtId="4" fontId="23" fillId="33" borderId="21" xfId="0" applyNumberFormat="1" applyFont="1" applyFill="1" applyBorder="1" applyAlignment="1">
      <alignment horizontal="center" vertical="center" shrinkToFit="1"/>
    </xf>
    <xf numFmtId="3" fontId="29" fillId="9" borderId="12" xfId="0" applyNumberFormat="1" applyFont="1" applyFill="1" applyBorder="1" applyAlignment="1">
      <alignment horizontal="center" vertical="center" shrinkToFit="1"/>
    </xf>
    <xf numFmtId="49" fontId="39" fillId="9" borderId="12" xfId="0" applyNumberFormat="1" applyFont="1" applyFill="1" applyBorder="1" applyAlignment="1">
      <alignment horizontal="center" vertical="center" shrinkToFit="1"/>
    </xf>
    <xf numFmtId="49" fontId="130" fillId="9" borderId="32" xfId="0" applyNumberFormat="1" applyFont="1" applyFill="1" applyBorder="1" applyAlignment="1">
      <alignment horizontal="center" vertical="center"/>
    </xf>
    <xf numFmtId="49" fontId="131" fillId="9" borderId="32" xfId="0" applyNumberFormat="1" applyFont="1" applyFill="1" applyBorder="1" applyAlignment="1">
      <alignment horizontal="center" vertical="center" shrinkToFit="1"/>
    </xf>
    <xf numFmtId="0" fontId="0" fillId="0" borderId="107" xfId="0" applyBorder="1" applyAlignment="1">
      <alignment horizontal="center" vertical="center"/>
    </xf>
    <xf numFmtId="4" fontId="0" fillId="0" borderId="3" xfId="0" applyNumberFormat="1" applyBorder="1" applyAlignment="1">
      <alignment horizontal="center" vertical="center"/>
    </xf>
    <xf numFmtId="4" fontId="0" fillId="0" borderId="4" xfId="0" applyNumberFormat="1" applyBorder="1" applyAlignment="1">
      <alignment horizontal="center" vertical="center"/>
    </xf>
    <xf numFmtId="0" fontId="0" fillId="0" borderId="106" xfId="0" applyBorder="1" applyAlignment="1">
      <alignment horizontal="center" vertical="center"/>
    </xf>
    <xf numFmtId="4" fontId="115" fillId="7" borderId="32" xfId="0" applyNumberFormat="1" applyFont="1" applyFill="1" applyBorder="1" applyAlignment="1">
      <alignment horizontal="center" vertical="center"/>
    </xf>
    <xf numFmtId="4" fontId="0" fillId="0" borderId="29" xfId="0" applyNumberFormat="1" applyBorder="1" applyAlignment="1">
      <alignment horizontal="center" vertical="center"/>
    </xf>
    <xf numFmtId="0" fontId="0" fillId="0" borderId="108" xfId="0" applyBorder="1" applyAlignment="1">
      <alignment horizontal="center" vertical="center"/>
    </xf>
    <xf numFmtId="4" fontId="0" fillId="0" borderId="8" xfId="0" applyNumberFormat="1" applyBorder="1" applyAlignment="1">
      <alignment horizontal="center" vertical="center"/>
    </xf>
    <xf numFmtId="4" fontId="0" fillId="0" borderId="9" xfId="0" applyNumberFormat="1" applyBorder="1" applyAlignment="1">
      <alignment horizontal="center" vertical="center"/>
    </xf>
    <xf numFmtId="0" fontId="132" fillId="0" borderId="0" xfId="12" applyFont="1"/>
    <xf numFmtId="0" fontId="133" fillId="0" borderId="0" xfId="12" applyFont="1"/>
    <xf numFmtId="0" fontId="134" fillId="0" borderId="0" xfId="12" applyFont="1"/>
    <xf numFmtId="4" fontId="23" fillId="34" borderId="21" xfId="0" applyNumberFormat="1" applyFont="1" applyFill="1" applyBorder="1" applyAlignment="1">
      <alignment horizontal="center" vertical="center" shrinkToFit="1"/>
    </xf>
    <xf numFmtId="49" fontId="39" fillId="9" borderId="12" xfId="0" applyNumberFormat="1" applyFont="1" applyFill="1" applyBorder="1" applyAlignment="1">
      <alignment horizontal="left" vertical="center" wrapText="1"/>
    </xf>
    <xf numFmtId="49" fontId="39" fillId="9" borderId="12" xfId="0" applyNumberFormat="1" applyFont="1" applyFill="1" applyBorder="1" applyAlignment="1">
      <alignment horizontal="center" vertical="center" wrapText="1"/>
    </xf>
    <xf numFmtId="1" fontId="39" fillId="9" borderId="12" xfId="0" applyNumberFormat="1" applyFont="1" applyFill="1" applyBorder="1" applyAlignment="1">
      <alignment horizontal="center" vertical="center" wrapText="1"/>
    </xf>
    <xf numFmtId="0" fontId="39" fillId="9" borderId="12" xfId="0" applyFont="1" applyFill="1" applyBorder="1" applyAlignment="1">
      <alignment horizontal="center" vertical="center" wrapText="1"/>
    </xf>
    <xf numFmtId="49" fontId="39" fillId="6" borderId="12" xfId="0" applyNumberFormat="1" applyFont="1" applyFill="1" applyBorder="1" applyAlignment="1">
      <alignment horizontal="center" vertical="center" shrinkToFit="1"/>
    </xf>
    <xf numFmtId="4" fontId="115" fillId="7" borderId="72" xfId="0" applyNumberFormat="1" applyFont="1" applyFill="1" applyBorder="1" applyAlignment="1">
      <alignment horizontal="center" vertical="center"/>
    </xf>
    <xf numFmtId="4" fontId="0" fillId="20" borderId="32" xfId="0" applyNumberFormat="1" applyFill="1" applyBorder="1" applyAlignment="1">
      <alignment vertical="center"/>
    </xf>
    <xf numFmtId="4" fontId="0" fillId="20" borderId="3" xfId="0" applyNumberFormat="1" applyFill="1" applyBorder="1" applyAlignment="1">
      <alignment vertical="center"/>
    </xf>
    <xf numFmtId="4" fontId="0" fillId="20" borderId="8" xfId="0" applyNumberFormat="1" applyFill="1" applyBorder="1" applyAlignment="1">
      <alignment vertical="center"/>
    </xf>
    <xf numFmtId="49" fontId="41" fillId="0" borderId="116" xfId="0" applyNumberFormat="1" applyFont="1" applyBorder="1" applyAlignment="1">
      <alignment horizontal="left" vertical="center" wrapText="1"/>
    </xf>
    <xf numFmtId="4" fontId="0" fillId="20" borderId="3" xfId="0" applyNumberFormat="1" applyFill="1" applyBorder="1" applyAlignment="1">
      <alignment horizontal="center" vertical="center"/>
    </xf>
    <xf numFmtId="4" fontId="0" fillId="20" borderId="32" xfId="0" applyNumberFormat="1" applyFill="1" applyBorder="1" applyAlignment="1">
      <alignment horizontal="center" vertical="center"/>
    </xf>
    <xf numFmtId="4" fontId="0" fillId="20" borderId="8" xfId="0" applyNumberFormat="1" applyFill="1" applyBorder="1" applyAlignment="1">
      <alignment horizontal="center" vertical="center"/>
    </xf>
    <xf numFmtId="4" fontId="0" fillId="20" borderId="72" xfId="0" applyNumberFormat="1" applyFill="1" applyBorder="1" applyAlignment="1">
      <alignment vertical="center"/>
    </xf>
    <xf numFmtId="0" fontId="0" fillId="0" borderId="72" xfId="0" applyBorder="1" applyAlignment="1">
      <alignment horizontal="center" vertical="center"/>
    </xf>
    <xf numFmtId="4" fontId="0" fillId="0" borderId="72" xfId="0" applyNumberFormat="1" applyBorder="1" applyAlignment="1">
      <alignment horizontal="center" vertical="center"/>
    </xf>
    <xf numFmtId="0" fontId="115" fillId="7" borderId="72" xfId="0" applyFont="1" applyFill="1" applyBorder="1" applyAlignment="1">
      <alignment vertical="center"/>
    </xf>
    <xf numFmtId="0" fontId="115" fillId="7" borderId="72" xfId="0" applyFont="1" applyFill="1" applyBorder="1" applyAlignment="1">
      <alignment horizontal="center" vertical="center"/>
    </xf>
    <xf numFmtId="0" fontId="0" fillId="0" borderId="2" xfId="0" applyBorder="1" applyAlignment="1">
      <alignment vertical="center"/>
    </xf>
    <xf numFmtId="0" fontId="0" fillId="0" borderId="27" xfId="0" applyBorder="1" applyAlignment="1">
      <alignment vertical="center" wrapText="1"/>
    </xf>
    <xf numFmtId="0" fontId="0" fillId="0" borderId="7" xfId="0" applyBorder="1" applyAlignment="1">
      <alignment vertical="center"/>
    </xf>
    <xf numFmtId="0" fontId="115" fillId="7" borderId="8" xfId="0" applyFont="1" applyFill="1" applyBorder="1" applyAlignment="1">
      <alignment vertical="center"/>
    </xf>
    <xf numFmtId="4" fontId="115" fillId="7" borderId="8" xfId="0" applyNumberFormat="1" applyFont="1" applyFill="1" applyBorder="1" applyAlignment="1">
      <alignment horizontal="center" vertical="center"/>
    </xf>
    <xf numFmtId="0" fontId="0" fillId="0" borderId="27" xfId="0" applyBorder="1" applyAlignment="1">
      <alignment vertical="center"/>
    </xf>
    <xf numFmtId="0" fontId="115" fillId="7" borderId="8" xfId="0" applyFont="1" applyFill="1" applyBorder="1" applyAlignment="1">
      <alignment horizontal="center" vertical="center"/>
    </xf>
    <xf numFmtId="3" fontId="118" fillId="0" borderId="12" xfId="0" applyNumberFormat="1" applyFont="1" applyBorder="1" applyAlignment="1">
      <alignment horizontal="center" vertical="center" shrinkToFit="1"/>
    </xf>
    <xf numFmtId="3" fontId="23" fillId="0" borderId="19" xfId="0" applyNumberFormat="1" applyFont="1" applyBorder="1" applyAlignment="1" applyProtection="1">
      <alignment horizontal="center" vertical="center" shrinkToFit="1"/>
      <protection locked="0"/>
    </xf>
    <xf numFmtId="3" fontId="23" fillId="0" borderId="12" xfId="0" applyNumberFormat="1" applyFont="1" applyBorder="1" applyAlignment="1" applyProtection="1">
      <alignment horizontal="center" vertical="center" shrinkToFit="1"/>
      <protection locked="0"/>
    </xf>
    <xf numFmtId="3" fontId="29" fillId="0" borderId="12" xfId="0" applyNumberFormat="1" applyFont="1" applyBorder="1" applyAlignment="1">
      <alignment horizontal="center" vertical="center" shrinkToFit="1"/>
    </xf>
    <xf numFmtId="3" fontId="23" fillId="0" borderId="32" xfId="0" applyNumberFormat="1" applyFont="1" applyBorder="1" applyAlignment="1">
      <alignment horizontal="center" vertical="center" shrinkToFit="1"/>
    </xf>
    <xf numFmtId="0" fontId="30" fillId="0" borderId="39" xfId="0" applyFont="1" applyBorder="1" applyAlignment="1">
      <alignment horizontal="center" vertical="center"/>
    </xf>
    <xf numFmtId="1" fontId="30" fillId="0" borderId="39" xfId="0" applyNumberFormat="1" applyFont="1" applyBorder="1" applyAlignment="1">
      <alignment horizontal="center" vertical="center"/>
    </xf>
    <xf numFmtId="0" fontId="115" fillId="0" borderId="32" xfId="0" applyFont="1" applyBorder="1" applyAlignment="1">
      <alignment horizontal="center" vertical="center" shrinkToFit="1"/>
    </xf>
    <xf numFmtId="3" fontId="30" fillId="0" borderId="39" xfId="0" applyNumberFormat="1" applyFont="1" applyBorder="1" applyAlignment="1">
      <alignment horizontal="center" vertical="center" wrapText="1"/>
    </xf>
    <xf numFmtId="167" fontId="30" fillId="0" borderId="39" xfId="0" applyNumberFormat="1" applyFont="1" applyBorder="1" applyAlignment="1">
      <alignment horizontal="center" vertical="center"/>
    </xf>
    <xf numFmtId="3" fontId="30" fillId="0" borderId="39" xfId="0" applyNumberFormat="1" applyFont="1" applyBorder="1" applyAlignment="1">
      <alignment horizontal="center" vertical="center"/>
    </xf>
    <xf numFmtId="167" fontId="30" fillId="0" borderId="39" xfId="27" applyNumberFormat="1" applyFont="1" applyBorder="1" applyAlignment="1">
      <alignment horizontal="center" vertical="center" shrinkToFit="1"/>
    </xf>
    <xf numFmtId="3" fontId="20" fillId="0" borderId="32" xfId="0" applyNumberFormat="1" applyFont="1" applyBorder="1" applyAlignment="1">
      <alignment horizontal="center" vertical="center" shrinkToFit="1"/>
    </xf>
    <xf numFmtId="4" fontId="23" fillId="0" borderId="12" xfId="0" applyNumberFormat="1" applyFont="1" applyBorder="1" applyAlignment="1">
      <alignment horizontal="center" vertical="center" shrinkToFit="1"/>
    </xf>
    <xf numFmtId="167" fontId="23" fillId="0" borderId="12" xfId="0" applyNumberFormat="1" applyFont="1" applyBorder="1" applyAlignment="1">
      <alignment horizontal="center" vertical="center" shrinkToFit="1"/>
    </xf>
    <xf numFmtId="3" fontId="41" fillId="0" borderId="39" xfId="0" applyNumberFormat="1" applyFont="1" applyBorder="1" applyAlignment="1">
      <alignment horizontal="center" vertical="center" wrapText="1"/>
    </xf>
    <xf numFmtId="3" fontId="126" fillId="0" borderId="32" xfId="0" applyNumberFormat="1" applyFont="1" applyBorder="1" applyAlignment="1">
      <alignment horizontal="center" vertical="center" shrinkToFit="1"/>
    </xf>
    <xf numFmtId="167" fontId="123" fillId="0" borderId="32" xfId="0" applyNumberFormat="1" applyFont="1" applyBorder="1" applyAlignment="1">
      <alignment horizontal="center" vertical="center" shrinkToFit="1"/>
    </xf>
    <xf numFmtId="3" fontId="123" fillId="0" borderId="32" xfId="0" applyNumberFormat="1" applyFont="1" applyBorder="1" applyAlignment="1">
      <alignment horizontal="center" vertical="center" shrinkToFit="1"/>
    </xf>
    <xf numFmtId="4" fontId="122" fillId="0" borderId="32" xfId="0" applyNumberFormat="1" applyFont="1" applyBorder="1" applyAlignment="1">
      <alignment horizontal="center" vertical="center" wrapText="1"/>
    </xf>
    <xf numFmtId="3" fontId="23" fillId="0" borderId="21" xfId="11" applyNumberFormat="1" applyFont="1" applyBorder="1" applyAlignment="1" applyProtection="1">
      <alignment horizontal="center" vertical="center" shrinkToFit="1"/>
      <protection locked="0"/>
    </xf>
    <xf numFmtId="0" fontId="36" fillId="0" borderId="0" xfId="11" applyFont="1" applyAlignment="1">
      <alignment horizontal="left" vertical="center" wrapText="1"/>
    </xf>
    <xf numFmtId="0" fontId="136" fillId="0" borderId="0" xfId="12" applyFont="1"/>
    <xf numFmtId="0" fontId="137" fillId="0" borderId="0" xfId="12" applyFont="1"/>
    <xf numFmtId="49" fontId="20" fillId="0" borderId="32" xfId="0" applyNumberFormat="1" applyFont="1" applyBorder="1" applyAlignment="1">
      <alignment horizontal="center" vertical="center" shrinkToFit="1"/>
    </xf>
    <xf numFmtId="49" fontId="39" fillId="0" borderId="12" xfId="0" applyNumberFormat="1" applyFont="1" applyBorder="1" applyAlignment="1">
      <alignment horizontal="center" vertical="center" shrinkToFit="1"/>
    </xf>
    <xf numFmtId="4" fontId="84" fillId="0" borderId="16" xfId="0" applyNumberFormat="1" applyFont="1" applyBorder="1" applyAlignment="1">
      <alignment horizontal="right" vertical="top"/>
    </xf>
    <xf numFmtId="4" fontId="85" fillId="0" borderId="19" xfId="0" applyNumberFormat="1" applyFont="1" applyBorder="1" applyAlignment="1">
      <alignment horizontal="right" vertical="top"/>
    </xf>
    <xf numFmtId="0" fontId="84" fillId="8" borderId="34" xfId="15" applyFont="1" applyFill="1" applyBorder="1" applyAlignment="1">
      <alignment horizontal="left" vertical="top" wrapText="1"/>
    </xf>
    <xf numFmtId="0" fontId="79" fillId="8" borderId="19" xfId="0" applyFont="1" applyFill="1" applyBorder="1" applyAlignment="1">
      <alignment horizontal="center" vertical="center"/>
    </xf>
    <xf numFmtId="0" fontId="138" fillId="0" borderId="0" xfId="0" applyFont="1" applyAlignment="1">
      <alignment vertical="center"/>
    </xf>
    <xf numFmtId="0" fontId="139" fillId="0" borderId="0" xfId="0" applyFont="1" applyAlignment="1">
      <alignment vertical="center"/>
    </xf>
    <xf numFmtId="4" fontId="23" fillId="7" borderId="21" xfId="0" applyNumberFormat="1" applyFont="1" applyFill="1" applyBorder="1" applyAlignment="1">
      <alignment horizontal="center" vertical="center" shrinkToFit="1"/>
    </xf>
    <xf numFmtId="4" fontId="23" fillId="0" borderId="12" xfId="0" applyNumberFormat="1" applyFont="1" applyBorder="1" applyAlignment="1" applyProtection="1">
      <alignment horizontal="center" vertical="center" shrinkToFit="1"/>
      <protection locked="0"/>
    </xf>
    <xf numFmtId="4" fontId="23" fillId="7" borderId="12" xfId="0" applyNumberFormat="1" applyFont="1" applyFill="1" applyBorder="1" applyAlignment="1">
      <alignment horizontal="center" vertical="center" shrinkToFit="1"/>
    </xf>
    <xf numFmtId="4" fontId="29" fillId="9" borderId="12" xfId="0" applyNumberFormat="1" applyFont="1" applyFill="1" applyBorder="1" applyAlignment="1">
      <alignment horizontal="center" vertical="center" shrinkToFit="1"/>
    </xf>
    <xf numFmtId="4" fontId="23" fillId="0" borderId="21" xfId="0" applyNumberFormat="1" applyFont="1" applyBorder="1" applyAlignment="1">
      <alignment horizontal="center" vertical="center" shrinkToFit="1"/>
    </xf>
    <xf numFmtId="4" fontId="23" fillId="0" borderId="32" xfId="0" applyNumberFormat="1" applyFont="1" applyBorder="1" applyAlignment="1" applyProtection="1">
      <alignment horizontal="center" vertical="center"/>
      <protection locked="0"/>
    </xf>
    <xf numFmtId="4" fontId="23" fillId="7" borderId="32" xfId="0" applyNumberFormat="1" applyFont="1" applyFill="1" applyBorder="1" applyAlignment="1">
      <alignment horizontal="center" vertical="center" shrinkToFit="1"/>
    </xf>
    <xf numFmtId="4" fontId="115" fillId="7" borderId="32" xfId="0" applyNumberFormat="1" applyFont="1" applyFill="1" applyBorder="1" applyAlignment="1">
      <alignment horizontal="center" vertical="center" shrinkToFit="1"/>
    </xf>
    <xf numFmtId="4" fontId="115" fillId="0" borderId="32" xfId="0" applyNumberFormat="1" applyFont="1" applyBorder="1" applyAlignment="1">
      <alignment horizontal="center" vertical="center" shrinkToFit="1"/>
    </xf>
    <xf numFmtId="4" fontId="23" fillId="0" borderId="33" xfId="0" applyNumberFormat="1" applyFont="1" applyBorder="1" applyAlignment="1">
      <alignment horizontal="center" vertical="center" shrinkToFit="1"/>
    </xf>
    <xf numFmtId="4" fontId="29" fillId="7" borderId="12" xfId="0" applyNumberFormat="1" applyFont="1" applyFill="1" applyBorder="1" applyAlignment="1">
      <alignment horizontal="center" vertical="center" shrinkToFit="1"/>
    </xf>
    <xf numFmtId="4" fontId="20" fillId="7" borderId="41" xfId="0" applyNumberFormat="1" applyFont="1" applyFill="1" applyBorder="1" applyAlignment="1">
      <alignment horizontal="center" vertical="center" shrinkToFit="1"/>
    </xf>
    <xf numFmtId="4" fontId="124" fillId="0" borderId="42" xfId="0" applyNumberFormat="1" applyFont="1" applyBorder="1" applyAlignment="1">
      <alignment horizontal="center" vertical="center" shrinkToFit="1"/>
    </xf>
    <xf numFmtId="4" fontId="124" fillId="7" borderId="42" xfId="0" applyNumberFormat="1" applyFont="1" applyFill="1" applyBorder="1" applyAlignment="1">
      <alignment horizontal="center" vertical="center" shrinkToFit="1"/>
    </xf>
    <xf numFmtId="4" fontId="20" fillId="0" borderId="41" xfId="0" applyNumberFormat="1" applyFont="1" applyBorder="1" applyAlignment="1">
      <alignment horizontal="center" vertical="center" shrinkToFit="1"/>
    </xf>
    <xf numFmtId="4" fontId="23" fillId="0" borderId="19" xfId="0" applyNumberFormat="1" applyFont="1" applyBorder="1" applyAlignment="1" applyProtection="1">
      <alignment horizontal="center" vertical="center" shrinkToFit="1"/>
      <protection locked="0"/>
    </xf>
    <xf numFmtId="4" fontId="23" fillId="7" borderId="12" xfId="0" applyNumberFormat="1" applyFont="1" applyFill="1" applyBorder="1" applyAlignment="1" applyProtection="1">
      <alignment horizontal="center" vertical="center" shrinkToFit="1"/>
      <protection locked="0"/>
    </xf>
    <xf numFmtId="4" fontId="23" fillId="11" borderId="21" xfId="11" applyNumberFormat="1" applyFont="1" applyFill="1" applyBorder="1" applyAlignment="1" applyProtection="1">
      <alignment horizontal="center" vertical="center" shrinkToFit="1"/>
      <protection locked="0"/>
    </xf>
    <xf numFmtId="4" fontId="23" fillId="7" borderId="13" xfId="0" applyNumberFormat="1" applyFont="1" applyFill="1" applyBorder="1" applyAlignment="1">
      <alignment horizontal="center" vertical="center" shrinkToFit="1"/>
    </xf>
    <xf numFmtId="4" fontId="123" fillId="0" borderId="32" xfId="0" applyNumberFormat="1" applyFont="1" applyBorder="1" applyAlignment="1">
      <alignment horizontal="center" vertical="center" shrinkToFit="1"/>
    </xf>
    <xf numFmtId="4" fontId="126" fillId="9" borderId="32" xfId="0" applyNumberFormat="1" applyFont="1" applyFill="1" applyBorder="1" applyAlignment="1">
      <alignment horizontal="center" vertical="center" shrinkToFit="1"/>
    </xf>
    <xf numFmtId="4" fontId="123" fillId="0" borderId="32" xfId="0" applyNumberFormat="1" applyFont="1" applyBorder="1" applyAlignment="1" applyProtection="1">
      <alignment horizontal="center" vertical="center" shrinkToFit="1"/>
      <protection locked="0"/>
    </xf>
    <xf numFmtId="4" fontId="123" fillId="7" borderId="37" xfId="0" applyNumberFormat="1" applyFont="1" applyFill="1" applyBorder="1" applyAlignment="1">
      <alignment horizontal="center" vertical="center" shrinkToFit="1"/>
    </xf>
    <xf numFmtId="4" fontId="123" fillId="7" borderId="37" xfId="0" applyNumberFormat="1" applyFont="1" applyFill="1" applyBorder="1" applyAlignment="1" applyProtection="1">
      <alignment horizontal="center" vertical="center" shrinkToFit="1"/>
      <protection locked="0"/>
    </xf>
    <xf numFmtId="4" fontId="23" fillId="0" borderId="20" xfId="0" applyNumberFormat="1" applyFont="1" applyBorder="1" applyAlignment="1">
      <alignment horizontal="center" vertical="center" shrinkToFit="1"/>
    </xf>
    <xf numFmtId="4" fontId="23" fillId="0" borderId="13" xfId="0" applyNumberFormat="1" applyFont="1" applyBorder="1" applyAlignment="1">
      <alignment horizontal="center" vertical="center" shrinkToFit="1"/>
    </xf>
    <xf numFmtId="4" fontId="23" fillId="11" borderId="12" xfId="11" applyNumberFormat="1" applyFont="1" applyFill="1" applyBorder="1" applyAlignment="1" applyProtection="1">
      <alignment horizontal="center" vertical="center" shrinkToFit="1"/>
      <protection locked="0"/>
    </xf>
    <xf numFmtId="4" fontId="23" fillId="34" borderId="12" xfId="0" applyNumberFormat="1" applyFont="1" applyFill="1" applyBorder="1" applyAlignment="1">
      <alignment horizontal="center" vertical="center" shrinkToFit="1"/>
    </xf>
    <xf numFmtId="4" fontId="0" fillId="0" borderId="72" xfId="0" applyNumberFormat="1" applyBorder="1" applyAlignment="1">
      <alignment vertical="center"/>
    </xf>
    <xf numFmtId="4" fontId="115" fillId="7" borderId="72" xfId="0" applyNumberFormat="1" applyFont="1" applyFill="1" applyBorder="1" applyAlignment="1">
      <alignment vertical="center"/>
    </xf>
    <xf numFmtId="0" fontId="20" fillId="0" borderId="72" xfId="0" applyFont="1" applyBorder="1" applyAlignment="1">
      <alignment horizontal="center" vertical="center" shrinkToFit="1"/>
    </xf>
    <xf numFmtId="0" fontId="20" fillId="0" borderId="3" xfId="0" applyFont="1" applyBorder="1" applyAlignment="1">
      <alignment horizontal="center" vertical="center" shrinkToFit="1"/>
    </xf>
    <xf numFmtId="4" fontId="115" fillId="7" borderId="8" xfId="0" applyNumberFormat="1" applyFont="1" applyFill="1" applyBorder="1" applyAlignment="1">
      <alignment vertical="center"/>
    </xf>
    <xf numFmtId="4" fontId="23" fillId="37" borderId="21" xfId="0" applyNumberFormat="1" applyFont="1" applyFill="1" applyBorder="1" applyAlignment="1">
      <alignment horizontal="center" vertical="center" shrinkToFit="1"/>
    </xf>
    <xf numFmtId="0" fontId="41" fillId="37" borderId="102" xfId="0" applyFont="1" applyFill="1" applyBorder="1" applyAlignment="1">
      <alignment vertical="center" wrapText="1"/>
    </xf>
    <xf numFmtId="0" fontId="132" fillId="0" borderId="0" xfId="12" applyFont="1" applyAlignment="1">
      <alignment horizontal="left" vertical="center" wrapText="1"/>
    </xf>
    <xf numFmtId="0" fontId="39" fillId="9" borderId="37" xfId="0" applyFont="1" applyFill="1" applyBorder="1" applyAlignment="1">
      <alignment horizontal="center" vertical="center" wrapText="1"/>
    </xf>
    <xf numFmtId="0" fontId="39" fillId="9" borderId="109" xfId="0" applyFont="1" applyFill="1" applyBorder="1" applyAlignment="1">
      <alignment horizontal="center" vertical="center" wrapText="1"/>
    </xf>
    <xf numFmtId="0" fontId="39" fillId="9" borderId="106" xfId="0" applyFont="1" applyFill="1" applyBorder="1" applyAlignment="1">
      <alignment horizontal="center" vertical="center" wrapText="1"/>
    </xf>
    <xf numFmtId="49" fontId="39" fillId="9" borderId="37" xfId="0" applyNumberFormat="1" applyFont="1" applyFill="1" applyBorder="1" applyAlignment="1">
      <alignment horizontal="center" vertical="center"/>
    </xf>
    <xf numFmtId="49" fontId="39" fillId="9" borderId="109" xfId="0" applyNumberFormat="1" applyFont="1" applyFill="1" applyBorder="1" applyAlignment="1">
      <alignment horizontal="center" vertical="center"/>
    </xf>
    <xf numFmtId="49" fontId="39" fillId="9" borderId="106" xfId="0" applyNumberFormat="1" applyFont="1" applyFill="1" applyBorder="1" applyAlignment="1">
      <alignment horizontal="center" vertical="center"/>
    </xf>
    <xf numFmtId="0" fontId="43" fillId="35" borderId="37" xfId="0" applyFont="1" applyFill="1" applyBorder="1" applyAlignment="1">
      <alignment horizontal="center" vertical="center" wrapText="1"/>
    </xf>
    <xf numFmtId="0" fontId="43" fillId="35" borderId="109" xfId="0" applyFont="1" applyFill="1" applyBorder="1" applyAlignment="1">
      <alignment horizontal="center" vertical="center" wrapText="1"/>
    </xf>
    <xf numFmtId="0" fontId="43" fillId="35" borderId="106" xfId="0" applyFont="1" applyFill="1" applyBorder="1" applyAlignment="1">
      <alignment horizontal="center" vertical="center" wrapText="1"/>
    </xf>
    <xf numFmtId="0" fontId="39" fillId="6" borderId="37" xfId="0" applyFont="1" applyFill="1" applyBorder="1" applyAlignment="1">
      <alignment horizontal="center" vertical="center" wrapText="1"/>
    </xf>
    <xf numFmtId="0" fontId="39" fillId="6" borderId="109" xfId="0" applyFont="1" applyFill="1" applyBorder="1" applyAlignment="1">
      <alignment horizontal="center" vertical="center" wrapText="1"/>
    </xf>
    <xf numFmtId="0" fontId="39" fillId="6" borderId="106" xfId="0" applyFont="1" applyFill="1" applyBorder="1" applyAlignment="1">
      <alignment horizontal="center" vertical="center" wrapText="1"/>
    </xf>
    <xf numFmtId="0" fontId="129" fillId="9" borderId="110" xfId="0" applyFont="1" applyFill="1" applyBorder="1" applyAlignment="1">
      <alignment horizontal="center" vertical="center" wrapText="1"/>
    </xf>
    <xf numFmtId="0" fontId="129" fillId="9" borderId="111" xfId="0" applyFont="1" applyFill="1" applyBorder="1" applyAlignment="1">
      <alignment horizontal="center" vertical="center" wrapText="1"/>
    </xf>
    <xf numFmtId="0" fontId="129" fillId="9" borderId="112" xfId="0" applyFont="1" applyFill="1" applyBorder="1" applyAlignment="1">
      <alignment horizontal="center" vertical="center" wrapText="1"/>
    </xf>
    <xf numFmtId="0" fontId="39" fillId="6" borderId="113" xfId="0" applyFont="1" applyFill="1" applyBorder="1" applyAlignment="1">
      <alignment horizontal="center" vertical="center" wrapText="1"/>
    </xf>
    <xf numFmtId="0" fontId="39" fillId="6" borderId="114" xfId="0" applyFont="1" applyFill="1" applyBorder="1" applyAlignment="1">
      <alignment horizontal="center" vertical="center" wrapText="1"/>
    </xf>
    <xf numFmtId="0" fontId="39" fillId="6" borderId="115" xfId="0" applyFont="1" applyFill="1" applyBorder="1" applyAlignment="1">
      <alignment horizontal="center" vertical="center" wrapText="1"/>
    </xf>
    <xf numFmtId="0" fontId="39" fillId="35" borderId="37" xfId="0" applyFont="1" applyFill="1" applyBorder="1" applyAlignment="1">
      <alignment horizontal="center" vertical="center" wrapText="1"/>
    </xf>
    <xf numFmtId="0" fontId="39" fillId="35" borderId="109" xfId="0" applyFont="1" applyFill="1" applyBorder="1" applyAlignment="1">
      <alignment horizontal="center" vertical="center" wrapText="1"/>
    </xf>
    <xf numFmtId="0" fontId="39" fillId="35" borderId="106" xfId="0" applyFont="1" applyFill="1" applyBorder="1" applyAlignment="1">
      <alignment horizontal="center" vertical="center" wrapText="1"/>
    </xf>
    <xf numFmtId="0" fontId="39" fillId="35" borderId="37" xfId="0" applyFont="1" applyFill="1" applyBorder="1" applyAlignment="1" applyProtection="1">
      <alignment horizontal="center" vertical="center" wrapText="1"/>
      <protection locked="0"/>
    </xf>
    <xf numFmtId="0" fontId="39" fillId="35" borderId="109" xfId="0" applyFont="1" applyFill="1" applyBorder="1" applyAlignment="1" applyProtection="1">
      <alignment horizontal="center" vertical="center" wrapText="1"/>
      <protection locked="0"/>
    </xf>
    <xf numFmtId="0" fontId="39" fillId="35" borderId="106" xfId="0" applyFont="1" applyFill="1" applyBorder="1" applyAlignment="1" applyProtection="1">
      <alignment horizontal="center" vertical="center" wrapText="1"/>
      <protection locked="0"/>
    </xf>
    <xf numFmtId="0" fontId="131" fillId="35" borderId="37" xfId="0" applyFont="1" applyFill="1" applyBorder="1" applyAlignment="1">
      <alignment horizontal="center" vertical="center" wrapText="1"/>
    </xf>
    <xf numFmtId="0" fontId="131" fillId="35" borderId="109" xfId="0" applyFont="1" applyFill="1" applyBorder="1" applyAlignment="1">
      <alignment horizontal="center" vertical="center" wrapText="1"/>
    </xf>
    <xf numFmtId="0" fontId="131" fillId="35" borderId="106" xfId="0" applyFont="1" applyFill="1" applyBorder="1" applyAlignment="1">
      <alignment horizontal="center" vertical="center" wrapText="1"/>
    </xf>
    <xf numFmtId="3" fontId="61" fillId="7" borderId="32" xfId="0" applyNumberFormat="1" applyFont="1" applyFill="1" applyBorder="1" applyAlignment="1">
      <alignment horizontal="center" vertical="center" wrapText="1"/>
    </xf>
    <xf numFmtId="0" fontId="20" fillId="0" borderId="104" xfId="0" applyFont="1" applyBorder="1" applyAlignment="1">
      <alignment vertical="center" wrapText="1"/>
    </xf>
    <xf numFmtId="0" fontId="20" fillId="0" borderId="105" xfId="0" applyFont="1" applyBorder="1" applyAlignment="1">
      <alignment vertical="center" wrapText="1"/>
    </xf>
    <xf numFmtId="0" fontId="20" fillId="0" borderId="68" xfId="0" applyFont="1" applyBorder="1" applyAlignment="1">
      <alignment vertical="center" wrapText="1"/>
    </xf>
    <xf numFmtId="0" fontId="20" fillId="0" borderId="32" xfId="0" applyFont="1" applyBorder="1" applyAlignment="1">
      <alignment vertical="center" wrapText="1"/>
    </xf>
    <xf numFmtId="49" fontId="20" fillId="0" borderId="43" xfId="0" applyNumberFormat="1" applyFont="1" applyBorder="1" applyAlignment="1" applyProtection="1">
      <alignment vertical="center" shrinkToFit="1"/>
      <protection locked="0"/>
    </xf>
    <xf numFmtId="49" fontId="20" fillId="0" borderId="49" xfId="0" applyNumberFormat="1" applyFont="1" applyBorder="1" applyAlignment="1" applyProtection="1">
      <alignment vertical="center" shrinkToFit="1"/>
      <protection locked="0"/>
    </xf>
    <xf numFmtId="0" fontId="20" fillId="0" borderId="50" xfId="0" applyFont="1" applyBorder="1" applyAlignment="1">
      <alignment vertical="center" wrapText="1"/>
    </xf>
    <xf numFmtId="0" fontId="20" fillId="0" borderId="51" xfId="0" applyFont="1" applyBorder="1" applyAlignment="1">
      <alignment vertical="center" wrapText="1"/>
    </xf>
    <xf numFmtId="0" fontId="20" fillId="0" borderId="50" xfId="0" applyFont="1" applyBorder="1" applyAlignment="1">
      <alignment vertical="top" wrapText="1"/>
    </xf>
    <xf numFmtId="0" fontId="20" fillId="0" borderId="51" xfId="0" applyFont="1" applyBorder="1" applyAlignment="1">
      <alignment vertical="top" wrapText="1"/>
    </xf>
    <xf numFmtId="0" fontId="20" fillId="0" borderId="50" xfId="0" applyFont="1" applyBorder="1" applyAlignment="1">
      <alignment horizontal="center" vertical="center" wrapText="1"/>
    </xf>
    <xf numFmtId="0" fontId="20" fillId="0" borderId="51" xfId="0" applyFont="1" applyBorder="1" applyAlignment="1">
      <alignment horizontal="center" vertical="center" wrapText="1"/>
    </xf>
    <xf numFmtId="3" fontId="23" fillId="0" borderId="38" xfId="0" applyNumberFormat="1" applyFont="1" applyBorder="1" applyAlignment="1">
      <alignment horizontal="center" vertical="center" shrinkToFit="1"/>
    </xf>
    <xf numFmtId="3" fontId="23" fillId="0" borderId="51" xfId="0" applyNumberFormat="1" applyFont="1" applyBorder="1" applyAlignment="1">
      <alignment horizontal="center" vertical="center" shrinkToFit="1"/>
    </xf>
    <xf numFmtId="4" fontId="23" fillId="0" borderId="38" xfId="0" applyNumberFormat="1" applyFont="1" applyBorder="1" applyAlignment="1" applyProtection="1">
      <alignment horizontal="center" vertical="center" shrinkToFit="1"/>
      <protection locked="0"/>
    </xf>
    <xf numFmtId="4" fontId="23" fillId="0" borderId="51" xfId="0" applyNumberFormat="1" applyFont="1" applyBorder="1" applyAlignment="1" applyProtection="1">
      <alignment horizontal="center" vertical="center" shrinkToFit="1"/>
      <protection locked="0"/>
    </xf>
    <xf numFmtId="4" fontId="23" fillId="0" borderId="38" xfId="0" applyNumberFormat="1" applyFont="1" applyBorder="1" applyAlignment="1">
      <alignment horizontal="center" vertical="center" shrinkToFit="1"/>
    </xf>
    <xf numFmtId="4" fontId="23" fillId="0" borderId="51" xfId="0" applyNumberFormat="1" applyFont="1" applyBorder="1" applyAlignment="1">
      <alignment horizontal="center" vertical="center" shrinkToFit="1"/>
    </xf>
    <xf numFmtId="4" fontId="23" fillId="0" borderId="50" xfId="0" applyNumberFormat="1" applyFont="1" applyBorder="1" applyAlignment="1">
      <alignment horizontal="center" vertical="center" shrinkToFit="1"/>
    </xf>
    <xf numFmtId="4" fontId="23" fillId="0" borderId="52" xfId="0" applyNumberFormat="1" applyFont="1" applyBorder="1" applyAlignment="1">
      <alignment horizontal="center" vertical="center" shrinkToFit="1"/>
    </xf>
    <xf numFmtId="0" fontId="20" fillId="0" borderId="102" xfId="0" applyFont="1" applyBorder="1" applyAlignment="1">
      <alignment vertical="center" wrapText="1"/>
    </xf>
    <xf numFmtId="49" fontId="20" fillId="0" borderId="38" xfId="0" applyNumberFormat="1" applyFont="1" applyBorder="1" applyAlignment="1">
      <alignment horizontal="center" vertical="center" shrinkToFit="1"/>
    </xf>
    <xf numFmtId="49" fontId="20" fillId="0" borderId="52" xfId="0" applyNumberFormat="1" applyFont="1" applyBorder="1" applyAlignment="1">
      <alignment horizontal="center" vertical="center" shrinkToFit="1"/>
    </xf>
    <xf numFmtId="49" fontId="20" fillId="0" borderId="51" xfId="0" applyNumberFormat="1" applyFont="1" applyBorder="1" applyAlignment="1">
      <alignment horizontal="center" vertical="center" shrinkToFit="1"/>
    </xf>
    <xf numFmtId="0" fontId="20" fillId="0" borderId="52" xfId="0" applyFont="1" applyBorder="1" applyAlignment="1">
      <alignment vertical="center" wrapText="1"/>
    </xf>
    <xf numFmtId="0" fontId="20" fillId="0" borderId="52" xfId="0" applyFont="1" applyBorder="1" applyAlignment="1">
      <alignment vertical="top" wrapText="1"/>
    </xf>
    <xf numFmtId="0" fontId="20" fillId="0" borderId="50" xfId="0" applyFont="1" applyBorder="1" applyAlignment="1">
      <alignment horizontal="center" vertical="center" shrinkToFit="1"/>
    </xf>
    <xf numFmtId="0" fontId="20" fillId="0" borderId="52" xfId="0" applyFont="1" applyBorder="1" applyAlignment="1">
      <alignment horizontal="center" vertical="center" shrinkToFit="1"/>
    </xf>
    <xf numFmtId="0" fontId="20" fillId="0" borderId="51" xfId="0" applyFont="1" applyBorder="1" applyAlignment="1">
      <alignment horizontal="center" vertical="center" shrinkToFit="1"/>
    </xf>
    <xf numFmtId="4" fontId="23" fillId="0" borderId="53" xfId="0" applyNumberFormat="1" applyFont="1" applyBorder="1" applyAlignment="1">
      <alignment vertical="center" shrinkToFit="1"/>
    </xf>
    <xf numFmtId="4" fontId="23" fillId="0" borderId="54" xfId="0" applyNumberFormat="1" applyFont="1" applyBorder="1" applyAlignment="1">
      <alignment vertical="center" shrinkToFit="1"/>
    </xf>
    <xf numFmtId="4" fontId="23" fillId="0" borderId="55" xfId="0" applyNumberFormat="1" applyFont="1" applyBorder="1" applyAlignment="1">
      <alignment vertical="center" shrinkToFit="1"/>
    </xf>
    <xf numFmtId="0" fontId="61" fillId="36" borderId="0" xfId="0" applyFont="1" applyFill="1" applyAlignment="1">
      <alignment horizontal="center" vertical="center" wrapText="1"/>
    </xf>
    <xf numFmtId="0" fontId="23" fillId="0" borderId="0" xfId="0" applyFont="1" applyAlignment="1">
      <alignment horizontal="left" vertical="center"/>
    </xf>
    <xf numFmtId="0" fontId="29" fillId="7" borderId="0" xfId="0" applyFont="1" applyFill="1" applyAlignment="1">
      <alignment horizontal="center" vertical="center" wrapText="1"/>
    </xf>
    <xf numFmtId="49" fontId="20" fillId="0" borderId="44" xfId="0" applyNumberFormat="1" applyFont="1" applyBorder="1" applyAlignment="1" applyProtection="1">
      <alignment vertical="center" shrinkToFit="1"/>
      <protection locked="0"/>
    </xf>
    <xf numFmtId="49" fontId="20" fillId="0" borderId="45" xfId="0" applyNumberFormat="1" applyFont="1" applyBorder="1" applyAlignment="1" applyProtection="1">
      <alignment vertical="center" shrinkToFit="1"/>
      <protection locked="0"/>
    </xf>
    <xf numFmtId="0" fontId="20" fillId="0" borderId="38" xfId="0" applyFont="1" applyBorder="1" applyAlignment="1">
      <alignment vertical="center" wrapText="1"/>
    </xf>
    <xf numFmtId="0" fontId="20" fillId="0" borderId="28" xfId="0" applyFont="1" applyBorder="1" applyAlignment="1">
      <alignment vertical="center" wrapText="1"/>
    </xf>
    <xf numFmtId="0" fontId="20" fillId="0" borderId="1" xfId="0" applyFont="1" applyBorder="1" applyAlignment="1">
      <alignment vertical="center" wrapText="1"/>
    </xf>
    <xf numFmtId="0" fontId="20" fillId="0" borderId="38" xfId="0" applyFont="1" applyBorder="1" applyAlignment="1" applyProtection="1">
      <alignment vertical="center" wrapText="1"/>
      <protection locked="0"/>
    </xf>
    <xf numFmtId="0" fontId="20" fillId="0" borderId="28" xfId="0" applyFont="1" applyBorder="1" applyAlignment="1" applyProtection="1">
      <alignment vertical="center" wrapText="1"/>
      <protection locked="0"/>
    </xf>
    <xf numFmtId="0" fontId="20" fillId="0" borderId="1" xfId="0" applyFont="1" applyBorder="1" applyAlignment="1" applyProtection="1">
      <alignment vertical="center" wrapText="1"/>
      <protection locked="0"/>
    </xf>
    <xf numFmtId="0" fontId="20" fillId="0" borderId="38" xfId="0" applyFont="1" applyBorder="1" applyAlignment="1">
      <alignment horizontal="center" vertical="center"/>
    </xf>
    <xf numFmtId="0" fontId="20" fillId="0" borderId="28" xfId="0" applyFont="1" applyBorder="1" applyAlignment="1">
      <alignment horizontal="center" vertical="center"/>
    </xf>
    <xf numFmtId="0" fontId="20" fillId="0" borderId="1" xfId="0" applyFont="1" applyBorder="1" applyAlignment="1">
      <alignment horizontal="center" vertical="center"/>
    </xf>
    <xf numFmtId="167" fontId="23" fillId="0" borderId="38" xfId="0" applyNumberFormat="1" applyFont="1" applyBorder="1" applyAlignment="1">
      <alignment vertical="center" shrinkToFit="1"/>
    </xf>
    <xf numFmtId="167" fontId="23" fillId="0" borderId="28" xfId="0" applyNumberFormat="1" applyFont="1" applyBorder="1" applyAlignment="1">
      <alignment vertical="center" shrinkToFit="1"/>
    </xf>
    <xf numFmtId="167" fontId="23" fillId="0" borderId="1" xfId="0" applyNumberFormat="1" applyFont="1" applyBorder="1" applyAlignment="1">
      <alignment vertical="center" shrinkToFit="1"/>
    </xf>
    <xf numFmtId="4" fontId="23" fillId="0" borderId="28" xfId="0" applyNumberFormat="1" applyFont="1" applyBorder="1" applyAlignment="1" applyProtection="1">
      <alignment horizontal="center" vertical="center" shrinkToFit="1"/>
      <protection locked="0"/>
    </xf>
    <xf numFmtId="4" fontId="23" fillId="0" borderId="1" xfId="0" applyNumberFormat="1" applyFont="1" applyBorder="1" applyAlignment="1" applyProtection="1">
      <alignment horizontal="center" vertical="center" shrinkToFit="1"/>
      <protection locked="0"/>
    </xf>
    <xf numFmtId="0" fontId="20" fillId="0" borderId="50" xfId="0" applyFont="1" applyBorder="1" applyAlignment="1">
      <alignment horizontal="left" vertical="center" wrapText="1"/>
    </xf>
    <xf numFmtId="0" fontId="20" fillId="0" borderId="52" xfId="0" applyFont="1" applyBorder="1" applyAlignment="1">
      <alignment horizontal="left" vertical="center" wrapText="1"/>
    </xf>
    <xf numFmtId="0" fontId="20" fillId="0" borderId="1" xfId="0" applyFont="1" applyBorder="1" applyAlignment="1">
      <alignment horizontal="left" vertical="center" wrapText="1"/>
    </xf>
    <xf numFmtId="0" fontId="20" fillId="0" borderId="50" xfId="0" applyFont="1" applyBorder="1" applyAlignment="1">
      <alignment horizontal="left" vertical="top" wrapText="1"/>
    </xf>
    <xf numFmtId="0" fontId="20" fillId="0" borderId="52" xfId="0" applyFont="1" applyBorder="1" applyAlignment="1">
      <alignment horizontal="left" vertical="top" wrapText="1"/>
    </xf>
    <xf numFmtId="0" fontId="20" fillId="0" borderId="1" xfId="0" applyFont="1" applyBorder="1" applyAlignment="1">
      <alignment horizontal="left" vertical="top" wrapText="1"/>
    </xf>
    <xf numFmtId="0" fontId="20" fillId="0" borderId="1" xfId="0" applyFont="1" applyBorder="1" applyAlignment="1">
      <alignment horizontal="center" vertical="center" shrinkToFit="1"/>
    </xf>
    <xf numFmtId="4" fontId="23" fillId="0" borderId="53" xfId="0" applyNumberFormat="1" applyFont="1" applyBorder="1" applyAlignment="1">
      <alignment horizontal="center" vertical="center" shrinkToFit="1"/>
    </xf>
    <xf numFmtId="4" fontId="23" fillId="0" borderId="54" xfId="0" applyNumberFormat="1" applyFont="1" applyBorder="1" applyAlignment="1">
      <alignment horizontal="center" vertical="center" shrinkToFit="1"/>
    </xf>
    <xf numFmtId="4" fontId="23" fillId="0" borderId="55" xfId="0" applyNumberFormat="1" applyFont="1" applyBorder="1" applyAlignment="1">
      <alignment horizontal="center" vertical="center" shrinkToFit="1"/>
    </xf>
    <xf numFmtId="0" fontId="20" fillId="0" borderId="38" xfId="0" applyFont="1" applyBorder="1" applyAlignment="1">
      <alignment horizontal="center" vertical="center" shrinkToFit="1"/>
    </xf>
    <xf numFmtId="3" fontId="23" fillId="0" borderId="53" xfId="0" applyNumberFormat="1" applyFont="1" applyBorder="1" applyAlignment="1">
      <alignment horizontal="center" vertical="center" shrinkToFit="1"/>
    </xf>
    <xf numFmtId="3" fontId="23" fillId="0" borderId="54" xfId="0" applyNumberFormat="1" applyFont="1" applyBorder="1" applyAlignment="1">
      <alignment horizontal="center" vertical="center" shrinkToFit="1"/>
    </xf>
    <xf numFmtId="3" fontId="23" fillId="0" borderId="55" xfId="0" applyNumberFormat="1" applyFont="1" applyBorder="1" applyAlignment="1">
      <alignment horizontal="center" vertical="center" shrinkToFit="1"/>
    </xf>
    <xf numFmtId="4" fontId="23" fillId="0" borderId="75" xfId="0" applyNumberFormat="1" applyFont="1" applyBorder="1" applyAlignment="1">
      <alignment horizontal="center" vertical="center" shrinkToFit="1"/>
    </xf>
    <xf numFmtId="4" fontId="23" fillId="0" borderId="76" xfId="0" applyNumberFormat="1" applyFont="1" applyBorder="1" applyAlignment="1">
      <alignment horizontal="center" vertical="center" shrinkToFit="1"/>
    </xf>
    <xf numFmtId="0" fontId="57" fillId="0" borderId="0" xfId="0" applyFont="1" applyAlignment="1">
      <alignment horizontal="right" vertical="center"/>
    </xf>
    <xf numFmtId="49" fontId="29" fillId="7" borderId="11" xfId="0" applyNumberFormat="1" applyFont="1" applyFill="1" applyBorder="1" applyAlignment="1">
      <alignment horizontal="left" vertical="center"/>
    </xf>
    <xf numFmtId="4" fontId="23" fillId="33" borderId="48" xfId="0" applyNumberFormat="1" applyFont="1" applyFill="1" applyBorder="1" applyAlignment="1">
      <alignment horizontal="center" vertical="center" shrinkToFit="1"/>
    </xf>
    <xf numFmtId="4" fontId="23" fillId="33" borderId="57" xfId="0" applyNumberFormat="1" applyFont="1" applyFill="1" applyBorder="1" applyAlignment="1">
      <alignment horizontal="center" vertical="center" shrinkToFit="1"/>
    </xf>
    <xf numFmtId="4" fontId="115" fillId="0" borderId="61" xfId="0" applyNumberFormat="1" applyFont="1" applyBorder="1" applyAlignment="1">
      <alignment horizontal="center" vertical="center"/>
    </xf>
    <xf numFmtId="4" fontId="115" fillId="0" borderId="48" xfId="0" applyNumberFormat="1" applyFont="1" applyBorder="1" applyAlignment="1">
      <alignment horizontal="center" vertical="center"/>
    </xf>
    <xf numFmtId="4" fontId="115" fillId="0" borderId="57" xfId="0" applyNumberFormat="1" applyFont="1" applyBorder="1" applyAlignment="1">
      <alignment horizontal="center" vertical="center"/>
    </xf>
    <xf numFmtId="4" fontId="23" fillId="33" borderId="59" xfId="0" applyNumberFormat="1" applyFont="1" applyFill="1" applyBorder="1" applyAlignment="1">
      <alignment horizontal="center" vertical="center" shrinkToFit="1"/>
    </xf>
    <xf numFmtId="4" fontId="23" fillId="33" borderId="60" xfId="0" applyNumberFormat="1" applyFont="1" applyFill="1" applyBorder="1" applyAlignment="1">
      <alignment horizontal="center" vertical="center" shrinkToFit="1"/>
    </xf>
    <xf numFmtId="0" fontId="43" fillId="35" borderId="12" xfId="0" applyFont="1" applyFill="1" applyBorder="1" applyAlignment="1">
      <alignment horizontal="center" vertical="center" wrapText="1"/>
    </xf>
    <xf numFmtId="0" fontId="20" fillId="0" borderId="102" xfId="0" applyFont="1" applyBorder="1" applyAlignment="1">
      <alignment horizontal="center" vertical="center" wrapText="1"/>
    </xf>
    <xf numFmtId="49" fontId="20" fillId="0" borderId="1" xfId="0" applyNumberFormat="1" applyFont="1" applyBorder="1" applyAlignment="1">
      <alignment horizontal="center" vertical="center" shrinkToFit="1"/>
    </xf>
    <xf numFmtId="0" fontId="20" fillId="0" borderId="38" xfId="0" applyFont="1" applyBorder="1" applyAlignment="1">
      <alignment horizontal="left" vertical="center" wrapText="1"/>
    </xf>
    <xf numFmtId="0" fontId="20" fillId="0" borderId="38" xfId="0" applyFont="1" applyBorder="1" applyAlignment="1">
      <alignment horizontal="left" vertical="top" wrapText="1"/>
    </xf>
    <xf numFmtId="4" fontId="23" fillId="0" borderId="64" xfId="0" applyNumberFormat="1" applyFont="1" applyBorder="1" applyAlignment="1">
      <alignment horizontal="center" vertical="center" shrinkToFit="1"/>
    </xf>
    <xf numFmtId="4" fontId="23" fillId="0" borderId="1" xfId="0" applyNumberFormat="1" applyFont="1" applyBorder="1" applyAlignment="1">
      <alignment horizontal="center" vertical="center" shrinkToFit="1"/>
    </xf>
    <xf numFmtId="0" fontId="20" fillId="0" borderId="104" xfId="0" applyFont="1" applyBorder="1" applyAlignment="1">
      <alignment horizontal="left" vertical="center" wrapText="1"/>
    </xf>
    <xf numFmtId="0" fontId="20" fillId="0" borderId="105" xfId="0" applyFont="1" applyBorder="1" applyAlignment="1">
      <alignment horizontal="left" vertical="center" wrapText="1"/>
    </xf>
    <xf numFmtId="0" fontId="20" fillId="0" borderId="68" xfId="0" applyFont="1" applyBorder="1" applyAlignment="1">
      <alignment horizontal="left" vertical="center" wrapText="1"/>
    </xf>
    <xf numFmtId="4" fontId="23" fillId="33" borderId="62" xfId="0" applyNumberFormat="1" applyFont="1" applyFill="1" applyBorder="1" applyAlignment="1">
      <alignment horizontal="center" vertical="center" shrinkToFit="1"/>
    </xf>
    <xf numFmtId="4" fontId="23" fillId="33" borderId="63" xfId="0" applyNumberFormat="1" applyFont="1" applyFill="1" applyBorder="1" applyAlignment="1">
      <alignment horizontal="center" vertical="center" shrinkToFit="1"/>
    </xf>
    <xf numFmtId="49" fontId="20" fillId="0" borderId="50" xfId="0" applyNumberFormat="1" applyFont="1" applyBorder="1" applyAlignment="1">
      <alignment horizontal="center" vertical="center" shrinkToFit="1"/>
    </xf>
    <xf numFmtId="4" fontId="23" fillId="0" borderId="47" xfId="0" applyNumberFormat="1" applyFont="1" applyBorder="1" applyAlignment="1">
      <alignment horizontal="center" vertical="center" shrinkToFit="1"/>
    </xf>
    <xf numFmtId="4" fontId="23" fillId="0" borderId="57" xfId="0" applyNumberFormat="1" applyFont="1" applyBorder="1" applyAlignment="1">
      <alignment horizontal="center" vertical="center" shrinkToFit="1"/>
    </xf>
    <xf numFmtId="0" fontId="41" fillId="0" borderId="104" xfId="0" applyFont="1" applyBorder="1" applyAlignment="1">
      <alignment horizontal="center" vertical="center" wrapText="1"/>
    </xf>
    <xf numFmtId="0" fontId="41" fillId="0" borderId="68" xfId="0" applyFont="1" applyBorder="1" applyAlignment="1">
      <alignment horizontal="center" vertical="center" wrapText="1"/>
    </xf>
    <xf numFmtId="0" fontId="41" fillId="0" borderId="102" xfId="0" applyFont="1" applyBorder="1" applyAlignment="1">
      <alignment horizontal="center" vertical="center" wrapText="1"/>
    </xf>
    <xf numFmtId="0" fontId="20" fillId="0" borderId="104" xfId="0" applyFont="1" applyBorder="1" applyAlignment="1">
      <alignment horizontal="center" vertical="center" wrapText="1"/>
    </xf>
    <xf numFmtId="0" fontId="20" fillId="0" borderId="68" xfId="0" applyFont="1" applyBorder="1" applyAlignment="1">
      <alignment horizontal="center" vertical="center" wrapText="1"/>
    </xf>
    <xf numFmtId="0" fontId="0" fillId="7" borderId="38" xfId="0" applyFill="1" applyBorder="1" applyAlignment="1">
      <alignment horizontal="left" vertical="center" wrapText="1"/>
    </xf>
    <xf numFmtId="0" fontId="0" fillId="7" borderId="1" xfId="0" applyFill="1" applyBorder="1" applyAlignment="1">
      <alignment horizontal="left" vertical="center" wrapText="1"/>
    </xf>
    <xf numFmtId="0" fontId="0" fillId="32" borderId="38" xfId="0" applyFill="1" applyBorder="1" applyAlignment="1">
      <alignment horizontal="left" vertical="center" wrapText="1"/>
    </xf>
    <xf numFmtId="0" fontId="0" fillId="32" borderId="1" xfId="0" applyFill="1" applyBorder="1" applyAlignment="1">
      <alignment horizontal="left" vertical="center" wrapText="1"/>
    </xf>
    <xf numFmtId="3" fontId="23" fillId="0" borderId="64" xfId="0" applyNumberFormat="1" applyFont="1" applyBorder="1" applyAlignment="1">
      <alignment horizontal="center" vertical="center" shrinkToFit="1"/>
    </xf>
    <xf numFmtId="0" fontId="41" fillId="0" borderId="38" xfId="0" applyFont="1" applyBorder="1" applyAlignment="1">
      <alignment horizontal="left" vertical="center" wrapText="1"/>
    </xf>
    <xf numFmtId="0" fontId="41" fillId="0" borderId="1" xfId="0" applyFont="1" applyBorder="1" applyAlignment="1">
      <alignment horizontal="left" vertical="center" wrapText="1"/>
    </xf>
    <xf numFmtId="0" fontId="41" fillId="0" borderId="38" xfId="0" applyFont="1" applyBorder="1" applyAlignment="1">
      <alignment horizontal="center" vertical="center" wrapText="1"/>
    </xf>
    <xf numFmtId="0" fontId="41" fillId="0" borderId="1" xfId="0" applyFont="1" applyBorder="1" applyAlignment="1">
      <alignment horizontal="center" vertical="center" wrapText="1"/>
    </xf>
    <xf numFmtId="3" fontId="23" fillId="0" borderId="69" xfId="0" applyNumberFormat="1" applyFont="1" applyBorder="1" applyAlignment="1">
      <alignment horizontal="center" vertical="center" shrinkToFit="1"/>
    </xf>
    <xf numFmtId="4" fontId="23" fillId="0" borderId="70" xfId="0" applyNumberFormat="1" applyFont="1" applyBorder="1" applyAlignment="1" applyProtection="1">
      <alignment horizontal="center" vertical="center" shrinkToFit="1"/>
      <protection locked="0"/>
    </xf>
    <xf numFmtId="4" fontId="23" fillId="0" borderId="67" xfId="0" applyNumberFormat="1" applyFont="1" applyBorder="1" applyAlignment="1">
      <alignment horizontal="center" vertical="center" shrinkToFit="1"/>
    </xf>
    <xf numFmtId="4" fontId="23" fillId="0" borderId="68" xfId="0" applyNumberFormat="1" applyFont="1" applyBorder="1" applyAlignment="1">
      <alignment horizontal="center" vertical="center" shrinkToFit="1"/>
    </xf>
    <xf numFmtId="0" fontId="41" fillId="0" borderId="72" xfId="0" applyFont="1" applyBorder="1" applyAlignment="1">
      <alignment horizontal="center" vertical="center" wrapText="1"/>
    </xf>
    <xf numFmtId="4" fontId="23" fillId="0" borderId="66" xfId="0" applyNumberFormat="1" applyFont="1" applyBorder="1" applyAlignment="1">
      <alignment horizontal="center" vertical="center" shrinkToFit="1"/>
    </xf>
    <xf numFmtId="4" fontId="23" fillId="0" borderId="48" xfId="0" applyNumberFormat="1" applyFont="1" applyBorder="1" applyAlignment="1">
      <alignment horizontal="center" vertical="center" shrinkToFit="1"/>
    </xf>
    <xf numFmtId="0" fontId="41" fillId="0" borderId="105" xfId="0" applyFont="1" applyBorder="1" applyAlignment="1">
      <alignment horizontal="center" vertical="center" wrapText="1"/>
    </xf>
    <xf numFmtId="0" fontId="20" fillId="0" borderId="84" xfId="0" applyFont="1" applyBorder="1" applyAlignment="1">
      <alignment horizontal="left" vertical="center" wrapText="1"/>
    </xf>
    <xf numFmtId="0" fontId="20" fillId="0" borderId="76" xfId="0" applyFont="1" applyBorder="1" applyAlignment="1">
      <alignment horizontal="left" vertical="center" wrapText="1"/>
    </xf>
    <xf numFmtId="0" fontId="20" fillId="0" borderId="84" xfId="0" applyFont="1" applyBorder="1" applyAlignment="1">
      <alignment horizontal="left" vertical="top" wrapText="1"/>
    </xf>
    <xf numFmtId="0" fontId="20" fillId="0" borderId="76" xfId="0" applyFont="1" applyBorder="1" applyAlignment="1">
      <alignment horizontal="left" vertical="top" wrapText="1"/>
    </xf>
    <xf numFmtId="0" fontId="20" fillId="0" borderId="84" xfId="0" applyFont="1" applyBorder="1" applyAlignment="1">
      <alignment horizontal="center" vertical="center" shrinkToFit="1"/>
    </xf>
    <xf numFmtId="0" fontId="20" fillId="0" borderId="76" xfId="0" applyFont="1" applyBorder="1" applyAlignment="1">
      <alignment horizontal="center" vertical="center" shrinkToFit="1"/>
    </xf>
    <xf numFmtId="3" fontId="23" fillId="0" borderId="85" xfId="0" applyNumberFormat="1" applyFont="1" applyBorder="1" applyAlignment="1">
      <alignment horizontal="center" vertical="center" shrinkToFit="1"/>
    </xf>
    <xf numFmtId="3" fontId="23" fillId="0" borderId="78" xfId="0" applyNumberFormat="1" applyFont="1" applyBorder="1" applyAlignment="1">
      <alignment horizontal="center" vertical="center" shrinkToFit="1"/>
    </xf>
    <xf numFmtId="49" fontId="124" fillId="0" borderId="73" xfId="0" applyNumberFormat="1" applyFont="1" applyBorder="1" applyAlignment="1" applyProtection="1">
      <alignment horizontal="center" vertical="center" shrinkToFit="1"/>
      <protection locked="0"/>
    </xf>
    <xf numFmtId="49" fontId="124" fillId="0" borderId="44" xfId="0" applyNumberFormat="1" applyFont="1" applyBorder="1" applyAlignment="1" applyProtection="1">
      <alignment horizontal="center" vertical="center" shrinkToFit="1"/>
      <protection locked="0"/>
    </xf>
    <xf numFmtId="49" fontId="124" fillId="0" borderId="74" xfId="0" applyNumberFormat="1" applyFont="1" applyBorder="1" applyAlignment="1" applyProtection="1">
      <alignment horizontal="center" vertical="center" shrinkToFit="1"/>
      <protection locked="0"/>
    </xf>
    <xf numFmtId="0" fontId="124" fillId="0" borderId="75" xfId="0" applyFont="1" applyBorder="1" applyAlignment="1">
      <alignment horizontal="left" vertical="center" wrapText="1"/>
    </xf>
    <xf numFmtId="0" fontId="124" fillId="0" borderId="52" xfId="0" applyFont="1" applyBorder="1" applyAlignment="1">
      <alignment horizontal="left" vertical="center" wrapText="1"/>
    </xf>
    <xf numFmtId="0" fontId="124" fillId="0" borderId="76" xfId="0" applyFont="1" applyBorder="1" applyAlignment="1">
      <alignment horizontal="left" vertical="center" wrapText="1"/>
    </xf>
    <xf numFmtId="0" fontId="124" fillId="0" borderId="75" xfId="0" applyFont="1" applyBorder="1" applyAlignment="1">
      <alignment horizontal="left" vertical="top" wrapText="1"/>
    </xf>
    <xf numFmtId="0" fontId="124" fillId="0" borderId="52" xfId="0" applyFont="1" applyBorder="1" applyAlignment="1">
      <alignment horizontal="left" vertical="top" wrapText="1"/>
    </xf>
    <xf numFmtId="0" fontId="124" fillId="0" borderId="76" xfId="0" applyFont="1" applyBorder="1" applyAlignment="1">
      <alignment horizontal="left" vertical="top" wrapText="1"/>
    </xf>
    <xf numFmtId="0" fontId="124" fillId="0" borderId="75" xfId="0" applyFont="1" applyBorder="1" applyAlignment="1">
      <alignment horizontal="center" vertical="center" shrinkToFit="1"/>
    </xf>
    <xf numFmtId="0" fontId="124" fillId="0" borderId="52" xfId="0" applyFont="1" applyBorder="1" applyAlignment="1">
      <alignment horizontal="center" vertical="center" shrinkToFit="1"/>
    </xf>
    <xf numFmtId="0" fontId="124" fillId="0" borderId="76" xfId="0" applyFont="1" applyBorder="1" applyAlignment="1">
      <alignment horizontal="center" vertical="center" shrinkToFit="1"/>
    </xf>
    <xf numFmtId="4" fontId="123" fillId="0" borderId="77" xfId="0" applyNumberFormat="1" applyFont="1" applyBorder="1" applyAlignment="1">
      <alignment horizontal="center" vertical="center" shrinkToFit="1"/>
    </xf>
    <xf numFmtId="4" fontId="123" fillId="0" borderId="54" xfId="0" applyNumberFormat="1" applyFont="1" applyBorder="1" applyAlignment="1">
      <alignment horizontal="center" vertical="center" shrinkToFit="1"/>
    </xf>
    <xf numFmtId="4" fontId="123" fillId="0" borderId="78" xfId="0" applyNumberFormat="1" applyFont="1" applyBorder="1" applyAlignment="1">
      <alignment horizontal="center" vertical="center" shrinkToFit="1"/>
    </xf>
    <xf numFmtId="4" fontId="123" fillId="0" borderId="66" xfId="0" applyNumberFormat="1" applyFont="1" applyBorder="1" applyAlignment="1">
      <alignment horizontal="center" vertical="center" shrinkToFit="1"/>
    </xf>
    <xf numFmtId="4" fontId="123" fillId="0" borderId="79" xfId="0" applyNumberFormat="1" applyFont="1" applyBorder="1" applyAlignment="1">
      <alignment horizontal="center" vertical="center" shrinkToFit="1"/>
    </xf>
    <xf numFmtId="4" fontId="123" fillId="0" borderId="80" xfId="0" applyNumberFormat="1" applyFont="1" applyBorder="1" applyAlignment="1">
      <alignment horizontal="center" vertical="center" shrinkToFit="1"/>
    </xf>
    <xf numFmtId="4" fontId="123" fillId="0" borderId="75" xfId="0" applyNumberFormat="1" applyFont="1" applyBorder="1" applyAlignment="1">
      <alignment horizontal="center" vertical="center" shrinkToFit="1"/>
    </xf>
    <xf numFmtId="4" fontId="123" fillId="0" borderId="52" xfId="0" applyNumberFormat="1" applyFont="1" applyBorder="1" applyAlignment="1">
      <alignment horizontal="center" vertical="center" shrinkToFit="1"/>
    </xf>
    <xf numFmtId="4" fontId="123" fillId="0" borderId="76" xfId="0" applyNumberFormat="1" applyFont="1" applyBorder="1" applyAlignment="1">
      <alignment horizontal="center" vertical="center" shrinkToFit="1"/>
    </xf>
    <xf numFmtId="0" fontId="124" fillId="0" borderId="104" xfId="0" applyFont="1" applyBorder="1" applyAlignment="1">
      <alignment horizontal="left" vertical="center" wrapText="1"/>
    </xf>
    <xf numFmtId="0" fontId="124" fillId="0" borderId="10" xfId="0" applyFont="1" applyBorder="1" applyAlignment="1">
      <alignment horizontal="left" vertical="center" wrapText="1"/>
    </xf>
    <xf numFmtId="0" fontId="124" fillId="0" borderId="68" xfId="0" applyFont="1" applyBorder="1" applyAlignment="1">
      <alignment horizontal="left" vertical="center" wrapText="1"/>
    </xf>
    <xf numFmtId="0" fontId="124" fillId="0" borderId="32" xfId="0" applyFont="1" applyBorder="1" applyAlignment="1">
      <alignment horizontal="center" vertical="center" wrapText="1"/>
    </xf>
    <xf numFmtId="0" fontId="41" fillId="0" borderId="52" xfId="0" applyFont="1" applyBorder="1" applyAlignment="1">
      <alignment horizontal="center" vertical="center" wrapText="1"/>
    </xf>
    <xf numFmtId="4" fontId="23" fillId="0" borderId="52" xfId="0" applyNumberFormat="1" applyFont="1" applyBorder="1" applyAlignment="1" applyProtection="1">
      <alignment horizontal="center" vertical="center" shrinkToFit="1"/>
      <protection locked="0"/>
    </xf>
    <xf numFmtId="4" fontId="23" fillId="0" borderId="71" xfId="0" applyNumberFormat="1" applyFont="1" applyBorder="1" applyAlignment="1" applyProtection="1">
      <alignment horizontal="center" vertical="center" shrinkToFit="1"/>
      <protection locked="0"/>
    </xf>
    <xf numFmtId="4" fontId="23" fillId="0" borderId="10" xfId="0" applyNumberFormat="1" applyFont="1" applyBorder="1" applyAlignment="1">
      <alignment horizontal="center" vertical="center" shrinkToFit="1"/>
    </xf>
    <xf numFmtId="0" fontId="41" fillId="0" borderId="10" xfId="0" applyFont="1" applyBorder="1" applyAlignment="1">
      <alignment horizontal="center" vertical="center" wrapText="1"/>
    </xf>
    <xf numFmtId="49" fontId="20" fillId="0" borderId="75" xfId="0" applyNumberFormat="1" applyFont="1" applyBorder="1" applyAlignment="1">
      <alignment horizontal="center" vertical="center" shrinkToFit="1"/>
    </xf>
    <xf numFmtId="49" fontId="20" fillId="0" borderId="93" xfId="0" applyNumberFormat="1" applyFont="1" applyBorder="1" applyAlignment="1">
      <alignment horizontal="center" vertical="center" shrinkToFit="1"/>
    </xf>
    <xf numFmtId="49" fontId="20" fillId="0" borderId="76" xfId="0" applyNumberFormat="1" applyFont="1" applyBorder="1" applyAlignment="1">
      <alignment horizontal="center" vertical="center" shrinkToFit="1"/>
    </xf>
    <xf numFmtId="0" fontId="20" fillId="0" borderId="75" xfId="0" applyFont="1" applyBorder="1" applyAlignment="1">
      <alignment horizontal="left" vertical="center" wrapText="1"/>
    </xf>
    <xf numFmtId="0" fontId="20" fillId="0" borderId="93" xfId="0" applyFont="1" applyBorder="1" applyAlignment="1">
      <alignment horizontal="left" vertical="center" wrapText="1"/>
    </xf>
    <xf numFmtId="0" fontId="20" fillId="0" borderId="75" xfId="0" applyFont="1" applyBorder="1" applyAlignment="1">
      <alignment horizontal="left" vertical="top" wrapText="1"/>
    </xf>
    <xf numFmtId="0" fontId="20" fillId="0" borderId="93" xfId="0" applyFont="1" applyBorder="1" applyAlignment="1">
      <alignment horizontal="left" vertical="top" wrapText="1"/>
    </xf>
    <xf numFmtId="0" fontId="20" fillId="0" borderId="75" xfId="0" applyFont="1" applyBorder="1" applyAlignment="1">
      <alignment horizontal="center" vertical="center" shrinkToFit="1"/>
    </xf>
    <xf numFmtId="0" fontId="20" fillId="0" borderId="93" xfId="0" applyFont="1" applyBorder="1" applyAlignment="1">
      <alignment horizontal="center" vertical="center" shrinkToFit="1"/>
    </xf>
    <xf numFmtId="3" fontId="23" fillId="0" borderId="77" xfId="0" applyNumberFormat="1" applyFont="1" applyBorder="1" applyAlignment="1">
      <alignment horizontal="center" vertical="center" shrinkToFit="1"/>
    </xf>
    <xf numFmtId="3" fontId="23" fillId="0" borderId="94" xfId="0" applyNumberFormat="1" applyFont="1" applyBorder="1" applyAlignment="1">
      <alignment horizontal="center" vertical="center" shrinkToFit="1"/>
    </xf>
    <xf numFmtId="0" fontId="20" fillId="0" borderId="89" xfId="0" applyFont="1" applyBorder="1" applyAlignment="1">
      <alignment horizontal="left" vertical="center" wrapText="1"/>
    </xf>
    <xf numFmtId="0" fontId="20" fillId="0" borderId="89" xfId="0" applyFont="1" applyBorder="1" applyAlignment="1">
      <alignment horizontal="center" vertical="center" shrinkToFit="1"/>
    </xf>
    <xf numFmtId="3" fontId="23" fillId="0" borderId="90" xfId="0" applyNumberFormat="1" applyFont="1" applyBorder="1" applyAlignment="1">
      <alignment horizontal="center" vertical="center" shrinkToFit="1"/>
    </xf>
    <xf numFmtId="4" fontId="23" fillId="0" borderId="88" xfId="0" applyNumberFormat="1" applyFont="1" applyBorder="1" applyAlignment="1">
      <alignment horizontal="center" vertical="center" shrinkToFit="1"/>
    </xf>
    <xf numFmtId="4" fontId="23" fillId="0" borderId="79" xfId="0" applyNumberFormat="1" applyFont="1" applyBorder="1" applyAlignment="1">
      <alignment horizontal="center" vertical="center" shrinkToFit="1"/>
    </xf>
    <xf numFmtId="4" fontId="23" fillId="0" borderId="80" xfId="0" applyNumberFormat="1" applyFont="1" applyBorder="1" applyAlignment="1">
      <alignment horizontal="center" vertical="center" shrinkToFit="1"/>
    </xf>
    <xf numFmtId="4" fontId="23" fillId="0" borderId="89" xfId="0" applyNumberFormat="1" applyFont="1" applyBorder="1" applyAlignment="1">
      <alignment horizontal="center" vertical="center" shrinkToFit="1"/>
    </xf>
    <xf numFmtId="4" fontId="23" fillId="0" borderId="93" xfId="0" applyNumberFormat="1" applyFont="1" applyBorder="1" applyAlignment="1">
      <alignment horizontal="center" vertical="center" shrinkToFit="1"/>
    </xf>
    <xf numFmtId="4" fontId="23" fillId="0" borderId="84" xfId="0" applyNumberFormat="1" applyFont="1" applyBorder="1" applyAlignment="1">
      <alignment horizontal="center" vertical="center" shrinkToFit="1"/>
    </xf>
    <xf numFmtId="4" fontId="23" fillId="0" borderId="95" xfId="0" applyNumberFormat="1" applyFont="1" applyBorder="1" applyAlignment="1">
      <alignment horizontal="center" vertical="center" shrinkToFit="1"/>
    </xf>
    <xf numFmtId="4" fontId="23" fillId="0" borderId="97" xfId="0" applyNumberFormat="1" applyFont="1" applyBorder="1" applyAlignment="1">
      <alignment horizontal="center" vertical="center" shrinkToFit="1"/>
    </xf>
    <xf numFmtId="49" fontId="20" fillId="0" borderId="97" xfId="0" applyNumberFormat="1" applyFont="1" applyBorder="1" applyAlignment="1">
      <alignment horizontal="center" vertical="center" shrinkToFit="1"/>
    </xf>
    <xf numFmtId="4" fontId="23" fillId="0" borderId="98" xfId="0" applyNumberFormat="1" applyFont="1" applyBorder="1" applyAlignment="1">
      <alignment horizontal="center" vertical="center" shrinkToFit="1"/>
    </xf>
    <xf numFmtId="0" fontId="20" fillId="0" borderId="97" xfId="0" applyFont="1" applyBorder="1" applyAlignment="1">
      <alignment horizontal="left" vertical="center" wrapText="1"/>
    </xf>
    <xf numFmtId="0" fontId="20" fillId="0" borderId="97" xfId="0" applyFont="1" applyBorder="1" applyAlignment="1">
      <alignment horizontal="left" vertical="top" wrapText="1"/>
    </xf>
    <xf numFmtId="0" fontId="20" fillId="0" borderId="97" xfId="0" applyFont="1" applyBorder="1" applyAlignment="1">
      <alignment horizontal="center" vertical="center" shrinkToFit="1"/>
    </xf>
    <xf numFmtId="3" fontId="23" fillId="0" borderId="100" xfId="0" applyNumberFormat="1" applyFont="1" applyBorder="1" applyAlignment="1">
      <alignment horizontal="center" vertical="center" shrinkToFit="1"/>
    </xf>
    <xf numFmtId="0" fontId="0" fillId="0" borderId="0" xfId="0" applyAlignment="1">
      <alignment horizontal="center"/>
    </xf>
    <xf numFmtId="0" fontId="45" fillId="0" borderId="15" xfId="2" applyFont="1" applyBorder="1" applyAlignment="1">
      <alignment horizontal="left" wrapText="1"/>
    </xf>
    <xf numFmtId="0" fontId="45" fillId="0" borderId="11" xfId="2" applyFont="1" applyBorder="1" applyAlignment="1">
      <alignment horizontal="left" wrapText="1"/>
    </xf>
    <xf numFmtId="0" fontId="31" fillId="7" borderId="10" xfId="2" applyFont="1" applyFill="1" applyBorder="1" applyAlignment="1">
      <alignment horizontal="left" vertical="center" wrapText="1"/>
    </xf>
    <xf numFmtId="0" fontId="31" fillId="7" borderId="0" xfId="2" applyFont="1" applyFill="1" applyAlignment="1">
      <alignment horizontal="left" vertical="center" wrapText="1"/>
    </xf>
    <xf numFmtId="3" fontId="31" fillId="0" borderId="17" xfId="2" applyNumberFormat="1" applyFont="1" applyBorder="1" applyAlignment="1">
      <alignment horizontal="center" vertical="center"/>
    </xf>
    <xf numFmtId="0" fontId="47" fillId="0" borderId="0" xfId="2" applyFont="1" applyAlignment="1">
      <alignment horizontal="left"/>
    </xf>
    <xf numFmtId="0" fontId="50" fillId="0" borderId="0" xfId="2" applyFont="1" applyAlignment="1">
      <alignment horizontal="left" vertical="top" wrapText="1"/>
    </xf>
    <xf numFmtId="0" fontId="52" fillId="0" borderId="0" xfId="2" applyFont="1" applyAlignment="1">
      <alignment horizontal="left" vertical="top"/>
    </xf>
    <xf numFmtId="0" fontId="31" fillId="7" borderId="0" xfId="2" applyFont="1" applyFill="1" applyAlignment="1">
      <alignment horizontal="center" vertical="top" wrapText="1"/>
    </xf>
    <xf numFmtId="0" fontId="47" fillId="0" borderId="0" xfId="2" applyFont="1" applyAlignment="1">
      <alignment horizontal="left" vertical="top"/>
    </xf>
    <xf numFmtId="0" fontId="47" fillId="0" borderId="0" xfId="2" applyFont="1" applyAlignment="1">
      <alignment horizontal="left" vertical="center"/>
    </xf>
    <xf numFmtId="0" fontId="19" fillId="0" borderId="0" xfId="0" applyFont="1" applyAlignment="1">
      <alignment horizontal="left" vertical="center" wrapText="1"/>
    </xf>
    <xf numFmtId="0" fontId="19" fillId="17" borderId="13" xfId="0" applyFont="1" applyFill="1" applyBorder="1" applyAlignment="1">
      <alignment horizontal="left"/>
    </xf>
    <xf numFmtId="0" fontId="19" fillId="17" borderId="14" xfId="0" applyFont="1" applyFill="1" applyBorder="1" applyAlignment="1">
      <alignment horizontal="left"/>
    </xf>
    <xf numFmtId="0" fontId="19" fillId="17" borderId="13" xfId="0" applyFont="1" applyFill="1" applyBorder="1"/>
    <xf numFmtId="0" fontId="19" fillId="17" borderId="14" xfId="0" applyFont="1" applyFill="1" applyBorder="1"/>
    <xf numFmtId="0" fontId="19" fillId="0" borderId="13" xfId="0" applyFont="1" applyBorder="1" applyAlignment="1">
      <alignment horizontal="left" vertical="top" wrapText="1"/>
    </xf>
    <xf numFmtId="0" fontId="19" fillId="0" borderId="14" xfId="0" applyFont="1" applyBorder="1" applyAlignment="1">
      <alignment horizontal="left" vertical="top" wrapText="1"/>
    </xf>
    <xf numFmtId="0" fontId="19" fillId="17" borderId="13" xfId="0" applyFont="1" applyFill="1" applyBorder="1" applyAlignment="1">
      <alignment horizontal="left" vertical="top"/>
    </xf>
    <xf numFmtId="0" fontId="19" fillId="17" borderId="14" xfId="0" applyFont="1" applyFill="1" applyBorder="1" applyAlignment="1">
      <alignment horizontal="left" vertical="top"/>
    </xf>
    <xf numFmtId="0" fontId="19" fillId="0" borderId="13" xfId="0" applyFont="1" applyBorder="1" applyAlignment="1">
      <alignment horizontal="left" vertical="top"/>
    </xf>
    <xf numFmtId="0" fontId="19" fillId="0" borderId="14" xfId="0" applyFont="1" applyBorder="1" applyAlignment="1">
      <alignment horizontal="left" vertical="top"/>
    </xf>
    <xf numFmtId="49" fontId="57" fillId="0" borderId="13" xfId="9" applyNumberFormat="1" applyFont="1" applyBorder="1" applyAlignment="1">
      <alignment horizontal="left" vertical="top" wrapText="1"/>
    </xf>
    <xf numFmtId="49" fontId="57" fillId="0" borderId="22" xfId="9" applyNumberFormat="1" applyFont="1" applyBorder="1" applyAlignment="1">
      <alignment horizontal="left" vertical="top" wrapText="1"/>
    </xf>
    <xf numFmtId="49" fontId="57" fillId="0" borderId="14" xfId="9" applyNumberFormat="1" applyFont="1" applyBorder="1" applyAlignment="1">
      <alignment horizontal="left" vertical="top" wrapText="1"/>
    </xf>
    <xf numFmtId="0" fontId="5" fillId="0" borderId="13" xfId="0" applyFont="1" applyBorder="1" applyAlignment="1">
      <alignment horizontal="left" vertical="top" wrapText="1"/>
    </xf>
    <xf numFmtId="0" fontId="5" fillId="0" borderId="0" xfId="0" applyFont="1" applyAlignment="1">
      <alignment vertical="top" wrapText="1"/>
    </xf>
    <xf numFmtId="0" fontId="6" fillId="0" borderId="0" xfId="0" applyFont="1" applyAlignment="1">
      <alignment horizontal="center"/>
    </xf>
    <xf numFmtId="0" fontId="93" fillId="26" borderId="34" xfId="15" applyFont="1" applyFill="1" applyBorder="1" applyAlignment="1">
      <alignment horizontal="center" vertical="top" wrapText="1"/>
    </xf>
    <xf numFmtId="0" fontId="93" fillId="26" borderId="34" xfId="15" applyFont="1" applyFill="1" applyBorder="1" applyAlignment="1">
      <alignment horizontal="center" vertical="center" wrapText="1"/>
    </xf>
    <xf numFmtId="0" fontId="93" fillId="29" borderId="34" xfId="15" applyFont="1" applyFill="1" applyBorder="1" applyAlignment="1">
      <alignment horizontal="center" vertical="top" wrapText="1"/>
    </xf>
    <xf numFmtId="0" fontId="88" fillId="0" borderId="35" xfId="31" applyFont="1" applyBorder="1" applyAlignment="1">
      <alignment horizontal="left" vertical="center" wrapText="1"/>
    </xf>
    <xf numFmtId="0" fontId="0" fillId="0" borderId="0" xfId="0" applyAlignment="1">
      <alignment horizontal="right" wrapText="1"/>
    </xf>
    <xf numFmtId="0" fontId="78" fillId="0" borderId="0" xfId="0" applyFont="1" applyAlignment="1">
      <alignment horizontal="center" wrapText="1"/>
    </xf>
    <xf numFmtId="2" fontId="78" fillId="24" borderId="23" xfId="7" applyNumberFormat="1" applyFont="1" applyFill="1" applyBorder="1" applyAlignment="1">
      <alignment horizontal="left" vertical="center" wrapText="1"/>
    </xf>
    <xf numFmtId="0" fontId="98" fillId="0" borderId="0" xfId="0" applyFont="1" applyAlignment="1">
      <alignment horizontal="left" wrapText="1"/>
    </xf>
    <xf numFmtId="9" fontId="135" fillId="38" borderId="32" xfId="12" applyNumberFormat="1" applyFont="1" applyFill="1" applyBorder="1" applyAlignment="1" applyProtection="1">
      <alignment horizontal="center" vertical="center"/>
      <protection locked="0"/>
    </xf>
    <xf numFmtId="49" fontId="135" fillId="38" borderId="32" xfId="12" applyNumberFormat="1" applyFont="1" applyFill="1" applyBorder="1" applyAlignment="1" applyProtection="1">
      <alignment horizontal="center" vertical="center"/>
      <protection locked="0"/>
    </xf>
    <xf numFmtId="1" fontId="135" fillId="38" borderId="32" xfId="12" applyNumberFormat="1" applyFont="1" applyFill="1" applyBorder="1" applyAlignment="1" applyProtection="1">
      <alignment horizontal="center"/>
      <protection locked="0"/>
    </xf>
    <xf numFmtId="4" fontId="23" fillId="39" borderId="21" xfId="0" applyNumberFormat="1" applyFont="1" applyFill="1" applyBorder="1" applyAlignment="1">
      <alignment horizontal="center" vertical="center" shrinkToFit="1"/>
    </xf>
    <xf numFmtId="4" fontId="23" fillId="39" borderId="20" xfId="0" applyNumberFormat="1" applyFont="1" applyFill="1" applyBorder="1" applyAlignment="1">
      <alignment horizontal="center" vertical="center" shrinkToFit="1"/>
    </xf>
    <xf numFmtId="4" fontId="23" fillId="39" borderId="12" xfId="0" applyNumberFormat="1" applyFont="1" applyFill="1" applyBorder="1" applyAlignment="1" applyProtection="1">
      <alignment horizontal="center" vertical="center" shrinkToFit="1"/>
      <protection locked="0"/>
    </xf>
    <xf numFmtId="4" fontId="23" fillId="39" borderId="98" xfId="0" applyNumberFormat="1" applyFont="1" applyFill="1" applyBorder="1" applyAlignment="1">
      <alignment horizontal="center" vertical="center" shrinkToFit="1"/>
    </xf>
    <xf numFmtId="4" fontId="23" fillId="39" borderId="95" xfId="0" applyNumberFormat="1" applyFont="1" applyFill="1" applyBorder="1" applyAlignment="1">
      <alignment horizontal="center" vertical="center" shrinkToFit="1"/>
    </xf>
    <xf numFmtId="4" fontId="23" fillId="39" borderId="80" xfId="0" applyNumberFormat="1" applyFont="1" applyFill="1" applyBorder="1" applyAlignment="1">
      <alignment horizontal="center" vertical="center" shrinkToFit="1"/>
    </xf>
    <xf numFmtId="4" fontId="23" fillId="39" borderId="99" xfId="0" applyNumberFormat="1" applyFont="1" applyFill="1" applyBorder="1" applyAlignment="1">
      <alignment horizontal="center" vertical="center" shrinkToFit="1"/>
    </xf>
    <xf numFmtId="4" fontId="23" fillId="39" borderId="96" xfId="0" applyNumberFormat="1" applyFont="1" applyFill="1" applyBorder="1" applyAlignment="1">
      <alignment horizontal="center" vertical="center" shrinkToFit="1"/>
    </xf>
    <xf numFmtId="4" fontId="23" fillId="39" borderId="83" xfId="0" applyNumberFormat="1" applyFont="1" applyFill="1" applyBorder="1" applyAlignment="1">
      <alignment horizontal="center" vertical="center" shrinkToFit="1"/>
    </xf>
    <xf numFmtId="4" fontId="0" fillId="39" borderId="3" xfId="0" applyNumberFormat="1" applyFill="1" applyBorder="1" applyAlignment="1">
      <alignment vertical="center"/>
    </xf>
    <xf numFmtId="4" fontId="0" fillId="39" borderId="72" xfId="0" applyNumberFormat="1" applyFill="1" applyBorder="1" applyAlignment="1">
      <alignment vertical="center"/>
    </xf>
    <xf numFmtId="4" fontId="0" fillId="39" borderId="8" xfId="0" applyNumberFormat="1" applyFill="1" applyBorder="1" applyAlignment="1">
      <alignment vertical="center"/>
    </xf>
    <xf numFmtId="4" fontId="23" fillId="39" borderId="88" xfId="0" applyNumberFormat="1" applyFont="1" applyFill="1" applyBorder="1" applyAlignment="1">
      <alignment horizontal="center" vertical="center" shrinkToFit="1"/>
    </xf>
    <xf numFmtId="4" fontId="23" fillId="39" borderId="86" xfId="0" applyNumberFormat="1" applyFont="1" applyFill="1" applyBorder="1" applyAlignment="1">
      <alignment horizontal="center" vertical="center" shrinkToFit="1"/>
    </xf>
    <xf numFmtId="4" fontId="23" fillId="39" borderId="21" xfId="11" applyNumberFormat="1" applyFont="1" applyFill="1" applyBorder="1" applyAlignment="1" applyProtection="1">
      <alignment horizontal="center" vertical="center" shrinkToFit="1"/>
      <protection locked="0"/>
    </xf>
    <xf numFmtId="4" fontId="23" fillId="39" borderId="20" xfId="11" applyNumberFormat="1" applyFont="1" applyFill="1" applyBorder="1" applyAlignment="1" applyProtection="1">
      <alignment horizontal="center" vertical="center" shrinkToFit="1"/>
      <protection locked="0"/>
    </xf>
    <xf numFmtId="4" fontId="23" fillId="39" borderId="41" xfId="0" applyNumberFormat="1" applyFont="1" applyFill="1" applyBorder="1" applyAlignment="1">
      <alignment horizontal="center" vertical="center" shrinkToFit="1"/>
    </xf>
    <xf numFmtId="4" fontId="23" fillId="39" borderId="91" xfId="0" applyNumberFormat="1" applyFont="1" applyFill="1" applyBorder="1" applyAlignment="1">
      <alignment horizontal="center" vertical="center" shrinkToFit="1"/>
    </xf>
    <xf numFmtId="4" fontId="23" fillId="39" borderId="79" xfId="0" applyNumberFormat="1" applyFont="1" applyFill="1" applyBorder="1" applyAlignment="1">
      <alignment horizontal="center" vertical="center" shrinkToFit="1"/>
    </xf>
    <xf numFmtId="4" fontId="23" fillId="39" borderId="82" xfId="0" applyNumberFormat="1" applyFont="1" applyFill="1" applyBorder="1" applyAlignment="1">
      <alignment horizontal="center" vertical="center" shrinkToFit="1"/>
    </xf>
    <xf numFmtId="4" fontId="23" fillId="39" borderId="92" xfId="0" applyNumberFormat="1" applyFont="1" applyFill="1" applyBorder="1" applyAlignment="1">
      <alignment horizontal="center" vertical="center" shrinkToFit="1"/>
    </xf>
    <xf numFmtId="4" fontId="23" fillId="39" borderId="87" xfId="0" applyNumberFormat="1" applyFont="1" applyFill="1" applyBorder="1" applyAlignment="1">
      <alignment horizontal="center" vertical="center" shrinkToFit="1"/>
    </xf>
    <xf numFmtId="4" fontId="23" fillId="39" borderId="19" xfId="0" applyNumberFormat="1" applyFont="1" applyFill="1" applyBorder="1" applyAlignment="1" applyProtection="1">
      <alignment horizontal="center" vertical="center" shrinkToFit="1"/>
      <protection locked="0"/>
    </xf>
    <xf numFmtId="4" fontId="20" fillId="39" borderId="41" xfId="0" applyNumberFormat="1" applyFont="1" applyFill="1" applyBorder="1" applyAlignment="1">
      <alignment horizontal="center" vertical="center" shrinkToFit="1"/>
    </xf>
    <xf numFmtId="4" fontId="123" fillId="39" borderId="42" xfId="0" applyNumberFormat="1" applyFont="1" applyFill="1" applyBorder="1" applyAlignment="1">
      <alignment horizontal="center" vertical="center"/>
    </xf>
    <xf numFmtId="4" fontId="123" fillId="39" borderId="32" xfId="0" applyNumberFormat="1" applyFont="1" applyFill="1" applyBorder="1" applyAlignment="1" applyProtection="1">
      <alignment horizontal="center" vertical="center" shrinkToFit="1"/>
      <protection locked="0"/>
    </xf>
    <xf numFmtId="4" fontId="123" fillId="39" borderId="66" xfId="0" applyNumberFormat="1" applyFont="1" applyFill="1" applyBorder="1" applyAlignment="1">
      <alignment horizontal="center" vertical="center" shrinkToFit="1"/>
    </xf>
    <xf numFmtId="4" fontId="123" fillId="39" borderId="79" xfId="0" applyNumberFormat="1" applyFont="1" applyFill="1" applyBorder="1" applyAlignment="1">
      <alignment horizontal="center" vertical="center" shrinkToFit="1"/>
    </xf>
    <xf numFmtId="4" fontId="123" fillId="39" borderId="80" xfId="0" applyNumberFormat="1" applyFont="1" applyFill="1" applyBorder="1" applyAlignment="1">
      <alignment horizontal="center" vertical="center" shrinkToFit="1"/>
    </xf>
    <xf numFmtId="4" fontId="123" fillId="39" borderId="81" xfId="0" applyNumberFormat="1" applyFont="1" applyFill="1" applyBorder="1" applyAlignment="1">
      <alignment horizontal="center" vertical="center" shrinkToFit="1"/>
    </xf>
    <xf numFmtId="4" fontId="123" fillId="39" borderId="82" xfId="0" applyNumberFormat="1" applyFont="1" applyFill="1" applyBorder="1" applyAlignment="1">
      <alignment horizontal="center" vertical="center" shrinkToFit="1"/>
    </xf>
    <xf numFmtId="4" fontId="123" fillId="39" borderId="83" xfId="0" applyNumberFormat="1" applyFont="1" applyFill="1" applyBorder="1" applyAlignment="1">
      <alignment horizontal="center" vertical="center" shrinkToFit="1"/>
    </xf>
    <xf numFmtId="4" fontId="41" fillId="39" borderId="38" xfId="0" applyNumberFormat="1" applyFont="1" applyFill="1" applyBorder="1" applyAlignment="1">
      <alignment horizontal="center" vertical="center" wrapText="1"/>
    </xf>
    <xf numFmtId="4" fontId="41" fillId="39" borderId="52" xfId="0" applyNumberFormat="1" applyFont="1" applyFill="1" applyBorder="1" applyAlignment="1">
      <alignment horizontal="center" vertical="center" wrapText="1"/>
    </xf>
    <xf numFmtId="4" fontId="41" fillId="39" borderId="1" xfId="0" applyNumberFormat="1" applyFont="1" applyFill="1" applyBorder="1" applyAlignment="1">
      <alignment horizontal="center" vertical="center" wrapText="1"/>
    </xf>
    <xf numFmtId="4" fontId="23" fillId="39" borderId="40" xfId="0" applyNumberFormat="1" applyFont="1" applyFill="1" applyBorder="1" applyAlignment="1">
      <alignment horizontal="center" vertical="center" shrinkToFit="1"/>
    </xf>
    <xf numFmtId="4" fontId="23" fillId="39" borderId="0" xfId="0" applyNumberFormat="1" applyFont="1" applyFill="1" applyAlignment="1">
      <alignment horizontal="center" vertical="center" shrinkToFit="1"/>
    </xf>
    <xf numFmtId="4" fontId="23" fillId="39" borderId="65" xfId="0" applyNumberFormat="1" applyFont="1" applyFill="1" applyBorder="1" applyAlignment="1">
      <alignment horizontal="center" vertical="center" shrinkToFit="1"/>
    </xf>
    <xf numFmtId="4" fontId="23" fillId="39" borderId="59" xfId="0" applyNumberFormat="1" applyFont="1" applyFill="1" applyBorder="1" applyAlignment="1">
      <alignment horizontal="center" vertical="center" shrinkToFit="1"/>
    </xf>
    <xf numFmtId="4" fontId="23" fillId="39" borderId="60" xfId="0" applyNumberFormat="1" applyFont="1" applyFill="1" applyBorder="1" applyAlignment="1">
      <alignment horizontal="center" vertical="center" shrinkToFit="1"/>
    </xf>
    <xf numFmtId="4" fontId="23" fillId="39" borderId="63" xfId="0" applyNumberFormat="1" applyFont="1" applyFill="1" applyBorder="1" applyAlignment="1">
      <alignment horizontal="center" vertical="center" shrinkToFit="1"/>
    </xf>
    <xf numFmtId="4" fontId="23" fillId="39" borderId="56" xfId="0" applyNumberFormat="1" applyFont="1" applyFill="1" applyBorder="1" applyAlignment="1">
      <alignment horizontal="center" vertical="center" shrinkToFit="1"/>
    </xf>
    <xf numFmtId="4" fontId="23" fillId="39" borderId="48" xfId="0" applyNumberFormat="1" applyFont="1" applyFill="1" applyBorder="1" applyAlignment="1">
      <alignment horizontal="center" vertical="center" shrinkToFit="1"/>
    </xf>
    <xf numFmtId="4" fontId="23" fillId="39" borderId="57" xfId="0" applyNumberFormat="1" applyFont="1" applyFill="1" applyBorder="1" applyAlignment="1">
      <alignment horizontal="center" vertical="center" shrinkToFit="1"/>
    </xf>
    <xf numFmtId="4" fontId="23" fillId="39" borderId="62" xfId="0" applyNumberFormat="1" applyFont="1" applyFill="1" applyBorder="1" applyAlignment="1">
      <alignment horizontal="center" vertical="center" shrinkToFit="1"/>
    </xf>
    <xf numFmtId="4" fontId="23" fillId="39" borderId="47" xfId="0" applyNumberFormat="1" applyFont="1" applyFill="1" applyBorder="1" applyAlignment="1">
      <alignment horizontal="center" vertical="center" shrinkToFit="1"/>
    </xf>
    <xf numFmtId="4" fontId="23" fillId="39" borderId="58" xfId="0" applyNumberFormat="1" applyFont="1" applyFill="1" applyBorder="1" applyAlignment="1">
      <alignment horizontal="center" vertical="center" shrinkToFit="1"/>
    </xf>
    <xf numFmtId="4" fontId="23" fillId="39" borderId="46" xfId="0" applyNumberFormat="1" applyFont="1" applyFill="1" applyBorder="1" applyAlignment="1" applyProtection="1">
      <alignment horizontal="center" vertical="center" shrinkToFit="1"/>
      <protection locked="0"/>
    </xf>
    <xf numFmtId="4" fontId="23" fillId="39" borderId="51" xfId="0" applyNumberFormat="1" applyFont="1" applyFill="1" applyBorder="1" applyAlignment="1" applyProtection="1">
      <alignment horizontal="center" vertical="center" shrinkToFit="1"/>
      <protection locked="0"/>
    </xf>
    <xf numFmtId="4" fontId="23" fillId="39" borderId="12" xfId="12" applyNumberFormat="1" applyFont="1" applyFill="1" applyBorder="1" applyAlignment="1" applyProtection="1">
      <alignment horizontal="center" vertical="center" shrinkToFit="1"/>
      <protection locked="0"/>
    </xf>
    <xf numFmtId="4" fontId="23" fillId="39" borderId="38" xfId="0" applyNumberFormat="1" applyFont="1" applyFill="1" applyBorder="1" applyAlignment="1" applyProtection="1">
      <alignment horizontal="center" vertical="center" shrinkToFit="1"/>
      <protection locked="0"/>
    </xf>
    <xf numFmtId="4" fontId="23" fillId="39" borderId="12" xfId="11" applyNumberFormat="1" applyFont="1" applyFill="1" applyBorder="1" applyAlignment="1" applyProtection="1">
      <alignment horizontal="center" vertical="center" shrinkToFit="1"/>
      <protection locked="0"/>
    </xf>
    <xf numFmtId="4" fontId="23" fillId="39" borderId="28" xfId="0" applyNumberFormat="1" applyFont="1" applyFill="1" applyBorder="1" applyAlignment="1" applyProtection="1">
      <alignment horizontal="center" vertical="center" shrinkToFit="1"/>
      <protection locked="0"/>
    </xf>
    <xf numFmtId="4" fontId="23" fillId="39" borderId="1" xfId="0" applyNumberFormat="1" applyFont="1" applyFill="1" applyBorder="1" applyAlignment="1" applyProtection="1">
      <alignment horizontal="center" vertical="center" shrinkToFit="1"/>
      <protection locked="0"/>
    </xf>
    <xf numFmtId="4" fontId="124" fillId="39" borderId="42" xfId="0" applyNumberFormat="1" applyFont="1" applyFill="1" applyBorder="1" applyAlignment="1">
      <alignment horizontal="center" vertical="center" shrinkToFit="1"/>
    </xf>
    <xf numFmtId="4" fontId="23" fillId="39" borderId="32" xfId="0" applyNumberFormat="1" applyFont="1" applyFill="1" applyBorder="1" applyAlignment="1" applyProtection="1">
      <alignment horizontal="center" vertical="center" shrinkToFit="1"/>
      <protection locked="0"/>
    </xf>
    <xf numFmtId="4" fontId="23" fillId="39" borderId="21" xfId="0" applyNumberFormat="1" applyFont="1" applyFill="1" applyBorder="1" applyAlignment="1" applyProtection="1">
      <alignment horizontal="center" vertical="center" shrinkToFit="1"/>
      <protection locked="0"/>
    </xf>
    <xf numFmtId="0" fontId="19" fillId="39" borderId="0" xfId="0" applyFont="1" applyFill="1" applyAlignment="1">
      <alignment vertical="center"/>
    </xf>
  </cellXfs>
  <cellStyles count="33">
    <cellStyle name="Excel Built-in Normal" xfId="15"/>
    <cellStyle name="Excel Built-in Normal 1" xfId="23"/>
    <cellStyle name="Excel Built-in Normal 1 2" xfId="32"/>
    <cellStyle name="Excel Built-in Normal 2 2" xfId="29"/>
    <cellStyle name="Excel Built-in Normal 3" xfId="11"/>
    <cellStyle name="TableStyleLight1" xfId="16"/>
    <cellStyle name="Гіперпосилання" xfId="1" builtinId="8"/>
    <cellStyle name="Звичайний" xfId="0" builtinId="0"/>
    <cellStyle name="Звичайний 10" xfId="31"/>
    <cellStyle name="Звичайний 11" xfId="19"/>
    <cellStyle name="Звичайний 14" xfId="25"/>
    <cellStyle name="Звичайний 2" xfId="2"/>
    <cellStyle name="Звичайний 2 10" xfId="13"/>
    <cellStyle name="Звичайний 2 2" xfId="3"/>
    <cellStyle name="Звичайний 2 3" xfId="4"/>
    <cellStyle name="Звичайний 3" xfId="5"/>
    <cellStyle name="Звичайний 3 2" xfId="6"/>
    <cellStyle name="Звичайний 3 3" xfId="14"/>
    <cellStyle name="Звичайний 4" xfId="21"/>
    <cellStyle name="Звичайний 5" xfId="18"/>
    <cellStyle name="Звичайний 7" xfId="27"/>
    <cellStyle name="Обычный 10" xfId="28"/>
    <cellStyle name="Обычный 10 3" xfId="22"/>
    <cellStyle name="Обычный 2" xfId="7"/>
    <cellStyle name="Обычный 2 2" xfId="8"/>
    <cellStyle name="Обычный 2 3" xfId="30"/>
    <cellStyle name="Обычный 3" xfId="12"/>
    <cellStyle name="Обычный 3 4" xfId="26"/>
    <cellStyle name="Обычный 4" xfId="20"/>
    <cellStyle name="Обычный 8 2" xfId="24"/>
    <cellStyle name="Обычный_КП" xfId="17"/>
    <cellStyle name="Обычный_Лист1" xfId="9"/>
    <cellStyle name="Фінансовий 2" xfId="10"/>
  </cellStyles>
  <dxfs count="0"/>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266700</xdr:colOff>
      <xdr:row>0</xdr:row>
      <xdr:rowOff>209550</xdr:rowOff>
    </xdr:from>
    <xdr:to>
      <xdr:col>2</xdr:col>
      <xdr:colOff>447675</xdr:colOff>
      <xdr:row>0</xdr:row>
      <xdr:rowOff>209550</xdr:rowOff>
    </xdr:to>
    <xdr:sp macro="" textlink="">
      <xdr:nvSpPr>
        <xdr:cNvPr id="2" name="Line 222">
          <a:extLst>
            <a:ext uri="{FF2B5EF4-FFF2-40B4-BE49-F238E27FC236}">
              <a16:creationId xmlns:a16="http://schemas.microsoft.com/office/drawing/2014/main" id="{D29A0118-7F9E-4311-AEE2-514AAF1F2B33}"/>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3" name="Line 223">
          <a:extLst>
            <a:ext uri="{FF2B5EF4-FFF2-40B4-BE49-F238E27FC236}">
              <a16:creationId xmlns:a16="http://schemas.microsoft.com/office/drawing/2014/main" id="{1D78AE05-4924-40D0-B26F-546F0CC708E7}"/>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4" name="Line 224">
          <a:extLst>
            <a:ext uri="{FF2B5EF4-FFF2-40B4-BE49-F238E27FC236}">
              <a16:creationId xmlns:a16="http://schemas.microsoft.com/office/drawing/2014/main" id="{0FD5F738-91B5-46EF-9F9F-D2669F2F2678}"/>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 name="Line 226">
          <a:extLst>
            <a:ext uri="{FF2B5EF4-FFF2-40B4-BE49-F238E27FC236}">
              <a16:creationId xmlns:a16="http://schemas.microsoft.com/office/drawing/2014/main" id="{F0EE6EEA-7DEE-458E-80CD-CA5E88C7B37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 name="Line 227">
          <a:extLst>
            <a:ext uri="{FF2B5EF4-FFF2-40B4-BE49-F238E27FC236}">
              <a16:creationId xmlns:a16="http://schemas.microsoft.com/office/drawing/2014/main" id="{6D836836-337F-48DE-A1DF-31C14FFCE0E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 name="Line 229">
          <a:extLst>
            <a:ext uri="{FF2B5EF4-FFF2-40B4-BE49-F238E27FC236}">
              <a16:creationId xmlns:a16="http://schemas.microsoft.com/office/drawing/2014/main" id="{583E1489-6237-40E3-8070-B9DFA04CF88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 name="Line 230">
          <a:extLst>
            <a:ext uri="{FF2B5EF4-FFF2-40B4-BE49-F238E27FC236}">
              <a16:creationId xmlns:a16="http://schemas.microsoft.com/office/drawing/2014/main" id="{0D66A82E-0987-4D32-9724-B656E594A8F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 name="Line 232">
          <a:extLst>
            <a:ext uri="{FF2B5EF4-FFF2-40B4-BE49-F238E27FC236}">
              <a16:creationId xmlns:a16="http://schemas.microsoft.com/office/drawing/2014/main" id="{0D66F403-E909-4B6C-B0A0-CA9892F7236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 name="Line 233">
          <a:extLst>
            <a:ext uri="{FF2B5EF4-FFF2-40B4-BE49-F238E27FC236}">
              <a16:creationId xmlns:a16="http://schemas.microsoft.com/office/drawing/2014/main" id="{E396CAA2-AEA1-4C6D-B534-F3516FEC3A1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 name="Line 235">
          <a:extLst>
            <a:ext uri="{FF2B5EF4-FFF2-40B4-BE49-F238E27FC236}">
              <a16:creationId xmlns:a16="http://schemas.microsoft.com/office/drawing/2014/main" id="{36CED8F2-6B8B-475B-AADD-BC66FF9C53C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 name="Line 236">
          <a:extLst>
            <a:ext uri="{FF2B5EF4-FFF2-40B4-BE49-F238E27FC236}">
              <a16:creationId xmlns:a16="http://schemas.microsoft.com/office/drawing/2014/main" id="{4A7E0E79-7279-4A0A-B952-AA802C011EF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13" name="Line 238">
          <a:extLst>
            <a:ext uri="{FF2B5EF4-FFF2-40B4-BE49-F238E27FC236}">
              <a16:creationId xmlns:a16="http://schemas.microsoft.com/office/drawing/2014/main" id="{F1711989-3F97-475C-8297-8E9E1448E37C}"/>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14" name="Line 239">
          <a:extLst>
            <a:ext uri="{FF2B5EF4-FFF2-40B4-BE49-F238E27FC236}">
              <a16:creationId xmlns:a16="http://schemas.microsoft.com/office/drawing/2014/main" id="{BA4A568A-9FF6-416F-BE4B-60CE1FADD195}"/>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15" name="Line 240">
          <a:extLst>
            <a:ext uri="{FF2B5EF4-FFF2-40B4-BE49-F238E27FC236}">
              <a16:creationId xmlns:a16="http://schemas.microsoft.com/office/drawing/2014/main" id="{0E6A7693-ADE2-4F11-B96D-9D9873655929}"/>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16" name="Line 241">
          <a:extLst>
            <a:ext uri="{FF2B5EF4-FFF2-40B4-BE49-F238E27FC236}">
              <a16:creationId xmlns:a16="http://schemas.microsoft.com/office/drawing/2014/main" id="{FBC26138-A30C-4F1E-9299-80F9F841009F}"/>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17" name="Line 242">
          <a:extLst>
            <a:ext uri="{FF2B5EF4-FFF2-40B4-BE49-F238E27FC236}">
              <a16:creationId xmlns:a16="http://schemas.microsoft.com/office/drawing/2014/main" id="{C46B875F-120B-444A-8787-55F50F2C47DC}"/>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8" name="Line 250">
          <a:extLst>
            <a:ext uri="{FF2B5EF4-FFF2-40B4-BE49-F238E27FC236}">
              <a16:creationId xmlns:a16="http://schemas.microsoft.com/office/drawing/2014/main" id="{ED73E8A5-D5FD-4236-B890-86ED7AA3885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9" name="Line 251">
          <a:extLst>
            <a:ext uri="{FF2B5EF4-FFF2-40B4-BE49-F238E27FC236}">
              <a16:creationId xmlns:a16="http://schemas.microsoft.com/office/drawing/2014/main" id="{FF079F9A-4C5E-4BEF-9B1F-E644362EA7D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0" name="Line 259">
          <a:extLst>
            <a:ext uri="{FF2B5EF4-FFF2-40B4-BE49-F238E27FC236}">
              <a16:creationId xmlns:a16="http://schemas.microsoft.com/office/drawing/2014/main" id="{FFB297D5-8ED4-4396-B89F-9037E2AC611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1" name="Line 260">
          <a:extLst>
            <a:ext uri="{FF2B5EF4-FFF2-40B4-BE49-F238E27FC236}">
              <a16:creationId xmlns:a16="http://schemas.microsoft.com/office/drawing/2014/main" id="{151801D2-3A7C-43C9-BB9C-A0925BC3BC2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2" name="Line 263">
          <a:extLst>
            <a:ext uri="{FF2B5EF4-FFF2-40B4-BE49-F238E27FC236}">
              <a16:creationId xmlns:a16="http://schemas.microsoft.com/office/drawing/2014/main" id="{D5591703-58A0-41C9-B579-1A36F1D078D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3" name="Line 264">
          <a:extLst>
            <a:ext uri="{FF2B5EF4-FFF2-40B4-BE49-F238E27FC236}">
              <a16:creationId xmlns:a16="http://schemas.microsoft.com/office/drawing/2014/main" id="{A98273F1-BEEE-458F-9C36-9F201C74F89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24" name="Line 222">
          <a:extLst>
            <a:ext uri="{FF2B5EF4-FFF2-40B4-BE49-F238E27FC236}">
              <a16:creationId xmlns:a16="http://schemas.microsoft.com/office/drawing/2014/main" id="{9DFB22B2-F3D8-4450-B57D-34F595A8E8D3}"/>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25" name="Line 223">
          <a:extLst>
            <a:ext uri="{FF2B5EF4-FFF2-40B4-BE49-F238E27FC236}">
              <a16:creationId xmlns:a16="http://schemas.microsoft.com/office/drawing/2014/main" id="{1F292B98-162B-4311-A566-20D5CC63AD94}"/>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26" name="Line 224">
          <a:extLst>
            <a:ext uri="{FF2B5EF4-FFF2-40B4-BE49-F238E27FC236}">
              <a16:creationId xmlns:a16="http://schemas.microsoft.com/office/drawing/2014/main" id="{4FF2A9C3-57B7-4819-BE9F-89FD85E9FDDB}"/>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7" name="Line 226">
          <a:extLst>
            <a:ext uri="{FF2B5EF4-FFF2-40B4-BE49-F238E27FC236}">
              <a16:creationId xmlns:a16="http://schemas.microsoft.com/office/drawing/2014/main" id="{A74AA65F-C8EE-48F2-8757-CFCB5F4ED58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8" name="Line 227">
          <a:extLst>
            <a:ext uri="{FF2B5EF4-FFF2-40B4-BE49-F238E27FC236}">
              <a16:creationId xmlns:a16="http://schemas.microsoft.com/office/drawing/2014/main" id="{636F6A3A-BC7C-4697-A53B-D61284ED112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9" name="Line 229">
          <a:extLst>
            <a:ext uri="{FF2B5EF4-FFF2-40B4-BE49-F238E27FC236}">
              <a16:creationId xmlns:a16="http://schemas.microsoft.com/office/drawing/2014/main" id="{3EA9E58A-866F-4C8D-BA22-C225C98397B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0" name="Line 230">
          <a:extLst>
            <a:ext uri="{FF2B5EF4-FFF2-40B4-BE49-F238E27FC236}">
              <a16:creationId xmlns:a16="http://schemas.microsoft.com/office/drawing/2014/main" id="{3434B693-5D89-460B-915F-87D53982DA0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1" name="Line 232">
          <a:extLst>
            <a:ext uri="{FF2B5EF4-FFF2-40B4-BE49-F238E27FC236}">
              <a16:creationId xmlns:a16="http://schemas.microsoft.com/office/drawing/2014/main" id="{D1BE9AB1-CE8C-42FC-B1E7-907EC0C3522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2" name="Line 233">
          <a:extLst>
            <a:ext uri="{FF2B5EF4-FFF2-40B4-BE49-F238E27FC236}">
              <a16:creationId xmlns:a16="http://schemas.microsoft.com/office/drawing/2014/main" id="{FBC6A0C2-4612-4576-827E-41206AA4A9C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3" name="Line 235">
          <a:extLst>
            <a:ext uri="{FF2B5EF4-FFF2-40B4-BE49-F238E27FC236}">
              <a16:creationId xmlns:a16="http://schemas.microsoft.com/office/drawing/2014/main" id="{E55FF972-3AB3-44B5-99B8-BC48A587F34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4" name="Line 236">
          <a:extLst>
            <a:ext uri="{FF2B5EF4-FFF2-40B4-BE49-F238E27FC236}">
              <a16:creationId xmlns:a16="http://schemas.microsoft.com/office/drawing/2014/main" id="{0257E9E1-3803-4E31-A927-D3DE0371A34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35" name="Line 238">
          <a:extLst>
            <a:ext uri="{FF2B5EF4-FFF2-40B4-BE49-F238E27FC236}">
              <a16:creationId xmlns:a16="http://schemas.microsoft.com/office/drawing/2014/main" id="{C22D43DC-222F-46D0-B081-0057FA4CD97E}"/>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36" name="Line 239">
          <a:extLst>
            <a:ext uri="{FF2B5EF4-FFF2-40B4-BE49-F238E27FC236}">
              <a16:creationId xmlns:a16="http://schemas.microsoft.com/office/drawing/2014/main" id="{4CD68AA6-6E49-444E-83D6-802818CDBF91}"/>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37" name="Line 240">
          <a:extLst>
            <a:ext uri="{FF2B5EF4-FFF2-40B4-BE49-F238E27FC236}">
              <a16:creationId xmlns:a16="http://schemas.microsoft.com/office/drawing/2014/main" id="{CF1C3D31-22F6-42B5-9854-1579BE8F7271}"/>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38" name="Line 241">
          <a:extLst>
            <a:ext uri="{FF2B5EF4-FFF2-40B4-BE49-F238E27FC236}">
              <a16:creationId xmlns:a16="http://schemas.microsoft.com/office/drawing/2014/main" id="{E96A19A7-90DA-4DBA-AE55-B329DF40EE39}"/>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39" name="Line 242">
          <a:extLst>
            <a:ext uri="{FF2B5EF4-FFF2-40B4-BE49-F238E27FC236}">
              <a16:creationId xmlns:a16="http://schemas.microsoft.com/office/drawing/2014/main" id="{FCA2FC74-F958-46EF-A0EF-ECF31CCF21FA}"/>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0" name="Line 250">
          <a:extLst>
            <a:ext uri="{FF2B5EF4-FFF2-40B4-BE49-F238E27FC236}">
              <a16:creationId xmlns:a16="http://schemas.microsoft.com/office/drawing/2014/main" id="{672B7433-2C5E-4A4A-8F29-E2DA8406C3C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1" name="Line 251">
          <a:extLst>
            <a:ext uri="{FF2B5EF4-FFF2-40B4-BE49-F238E27FC236}">
              <a16:creationId xmlns:a16="http://schemas.microsoft.com/office/drawing/2014/main" id="{2D7C4874-CFC2-4AB4-B8EA-20A48628553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2" name="Line 259">
          <a:extLst>
            <a:ext uri="{FF2B5EF4-FFF2-40B4-BE49-F238E27FC236}">
              <a16:creationId xmlns:a16="http://schemas.microsoft.com/office/drawing/2014/main" id="{055E9B51-D4D6-41B0-8ECC-B98B5B1D22E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3" name="Line 260">
          <a:extLst>
            <a:ext uri="{FF2B5EF4-FFF2-40B4-BE49-F238E27FC236}">
              <a16:creationId xmlns:a16="http://schemas.microsoft.com/office/drawing/2014/main" id="{18C0FD37-0183-4C75-8586-64E8F860C9B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4" name="Line 263">
          <a:extLst>
            <a:ext uri="{FF2B5EF4-FFF2-40B4-BE49-F238E27FC236}">
              <a16:creationId xmlns:a16="http://schemas.microsoft.com/office/drawing/2014/main" id="{1427B7D6-453F-4C60-B170-6390A391AA6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5" name="Line 264">
          <a:extLst>
            <a:ext uri="{FF2B5EF4-FFF2-40B4-BE49-F238E27FC236}">
              <a16:creationId xmlns:a16="http://schemas.microsoft.com/office/drawing/2014/main" id="{185D854F-4B5F-43E1-977F-A3A542A2C69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6" name="Line 266">
          <a:extLst>
            <a:ext uri="{FF2B5EF4-FFF2-40B4-BE49-F238E27FC236}">
              <a16:creationId xmlns:a16="http://schemas.microsoft.com/office/drawing/2014/main" id="{09B118FB-3CA8-45D4-8160-0BBFFC8FB65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7" name="Line 267">
          <a:extLst>
            <a:ext uri="{FF2B5EF4-FFF2-40B4-BE49-F238E27FC236}">
              <a16:creationId xmlns:a16="http://schemas.microsoft.com/office/drawing/2014/main" id="{C902BFB8-3FAB-4251-B4DB-07CAA7EFDE1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8" name="Line 285">
          <a:extLst>
            <a:ext uri="{FF2B5EF4-FFF2-40B4-BE49-F238E27FC236}">
              <a16:creationId xmlns:a16="http://schemas.microsoft.com/office/drawing/2014/main" id="{67EFCBF0-C463-4806-8951-DF4D14D5846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9" name="Line 286">
          <a:extLst>
            <a:ext uri="{FF2B5EF4-FFF2-40B4-BE49-F238E27FC236}">
              <a16:creationId xmlns:a16="http://schemas.microsoft.com/office/drawing/2014/main" id="{B3759B13-948B-4F99-8BBE-CC549397D74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0" name="Line 288">
          <a:extLst>
            <a:ext uri="{FF2B5EF4-FFF2-40B4-BE49-F238E27FC236}">
              <a16:creationId xmlns:a16="http://schemas.microsoft.com/office/drawing/2014/main" id="{A2DD4F09-63EF-4191-BBED-369DE3C0C70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1" name="Line 289">
          <a:extLst>
            <a:ext uri="{FF2B5EF4-FFF2-40B4-BE49-F238E27FC236}">
              <a16:creationId xmlns:a16="http://schemas.microsoft.com/office/drawing/2014/main" id="{C120E741-0868-42B4-9044-AB72B5A4871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52" name="Line 293">
          <a:extLst>
            <a:ext uri="{FF2B5EF4-FFF2-40B4-BE49-F238E27FC236}">
              <a16:creationId xmlns:a16="http://schemas.microsoft.com/office/drawing/2014/main" id="{26861DD6-0EAF-4809-9D96-7AE0A504AB05}"/>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53" name="Line 222">
          <a:extLst>
            <a:ext uri="{FF2B5EF4-FFF2-40B4-BE49-F238E27FC236}">
              <a16:creationId xmlns:a16="http://schemas.microsoft.com/office/drawing/2014/main" id="{B7E58434-99FD-4032-BD97-53A026C75076}"/>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54" name="Line 223">
          <a:extLst>
            <a:ext uri="{FF2B5EF4-FFF2-40B4-BE49-F238E27FC236}">
              <a16:creationId xmlns:a16="http://schemas.microsoft.com/office/drawing/2014/main" id="{55FD5A54-A6B1-4090-854A-55A2626A7E27}"/>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55" name="Line 224">
          <a:extLst>
            <a:ext uri="{FF2B5EF4-FFF2-40B4-BE49-F238E27FC236}">
              <a16:creationId xmlns:a16="http://schemas.microsoft.com/office/drawing/2014/main" id="{C1DFA6E6-E987-4710-9456-021B19114885}"/>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6" name="Line 226">
          <a:extLst>
            <a:ext uri="{FF2B5EF4-FFF2-40B4-BE49-F238E27FC236}">
              <a16:creationId xmlns:a16="http://schemas.microsoft.com/office/drawing/2014/main" id="{68226E03-7AE5-4FA8-B8A4-3AF08725725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7" name="Line 227">
          <a:extLst>
            <a:ext uri="{FF2B5EF4-FFF2-40B4-BE49-F238E27FC236}">
              <a16:creationId xmlns:a16="http://schemas.microsoft.com/office/drawing/2014/main" id="{83A5D42C-8104-496A-80F2-7CCFEF332E3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8" name="Line 229">
          <a:extLst>
            <a:ext uri="{FF2B5EF4-FFF2-40B4-BE49-F238E27FC236}">
              <a16:creationId xmlns:a16="http://schemas.microsoft.com/office/drawing/2014/main" id="{BA0A02F9-6CBB-4D77-8FCE-376F484D302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59" name="Line 222">
          <a:extLst>
            <a:ext uri="{FF2B5EF4-FFF2-40B4-BE49-F238E27FC236}">
              <a16:creationId xmlns:a16="http://schemas.microsoft.com/office/drawing/2014/main" id="{22CAE801-037B-4B2C-98F8-E27C0D92F6E0}"/>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60" name="Line 223">
          <a:extLst>
            <a:ext uri="{FF2B5EF4-FFF2-40B4-BE49-F238E27FC236}">
              <a16:creationId xmlns:a16="http://schemas.microsoft.com/office/drawing/2014/main" id="{C774CCB8-0B6C-4014-BBBC-4359A2D5C151}"/>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61" name="Line 224">
          <a:extLst>
            <a:ext uri="{FF2B5EF4-FFF2-40B4-BE49-F238E27FC236}">
              <a16:creationId xmlns:a16="http://schemas.microsoft.com/office/drawing/2014/main" id="{4CABEF4A-2F86-449A-AB6B-346028DC85E5}"/>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2" name="Line 226">
          <a:extLst>
            <a:ext uri="{FF2B5EF4-FFF2-40B4-BE49-F238E27FC236}">
              <a16:creationId xmlns:a16="http://schemas.microsoft.com/office/drawing/2014/main" id="{9E1E1CE4-C714-488C-98BB-C62B4886F5D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3" name="Line 227">
          <a:extLst>
            <a:ext uri="{FF2B5EF4-FFF2-40B4-BE49-F238E27FC236}">
              <a16:creationId xmlns:a16="http://schemas.microsoft.com/office/drawing/2014/main" id="{B26B13BE-4587-4D90-9367-0735B77D6C4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4" name="Line 229">
          <a:extLst>
            <a:ext uri="{FF2B5EF4-FFF2-40B4-BE49-F238E27FC236}">
              <a16:creationId xmlns:a16="http://schemas.microsoft.com/office/drawing/2014/main" id="{2FB58956-6B68-4024-BEED-B4B9B625921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5" name="Line 230">
          <a:extLst>
            <a:ext uri="{FF2B5EF4-FFF2-40B4-BE49-F238E27FC236}">
              <a16:creationId xmlns:a16="http://schemas.microsoft.com/office/drawing/2014/main" id="{4842EEDF-DB6F-4428-B229-B3FE0BE7279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6" name="Line 232">
          <a:extLst>
            <a:ext uri="{FF2B5EF4-FFF2-40B4-BE49-F238E27FC236}">
              <a16:creationId xmlns:a16="http://schemas.microsoft.com/office/drawing/2014/main" id="{50FB7BCF-8537-427C-A5F8-8F053F741A7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7" name="Line 233">
          <a:extLst>
            <a:ext uri="{FF2B5EF4-FFF2-40B4-BE49-F238E27FC236}">
              <a16:creationId xmlns:a16="http://schemas.microsoft.com/office/drawing/2014/main" id="{179EA6C7-0063-4B76-BE8A-C5FE292FD479}"/>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8" name="Line 235">
          <a:extLst>
            <a:ext uri="{FF2B5EF4-FFF2-40B4-BE49-F238E27FC236}">
              <a16:creationId xmlns:a16="http://schemas.microsoft.com/office/drawing/2014/main" id="{9A02E25A-28C4-48A3-A6D1-ED9918BCF24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9" name="Line 236">
          <a:extLst>
            <a:ext uri="{FF2B5EF4-FFF2-40B4-BE49-F238E27FC236}">
              <a16:creationId xmlns:a16="http://schemas.microsoft.com/office/drawing/2014/main" id="{3F98CA64-778C-4D86-88F2-4F6450F97E5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70" name="Line 238">
          <a:extLst>
            <a:ext uri="{FF2B5EF4-FFF2-40B4-BE49-F238E27FC236}">
              <a16:creationId xmlns:a16="http://schemas.microsoft.com/office/drawing/2014/main" id="{1E2111E6-EC4C-4F6F-8906-01CB6586750C}"/>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71" name="Line 239">
          <a:extLst>
            <a:ext uri="{FF2B5EF4-FFF2-40B4-BE49-F238E27FC236}">
              <a16:creationId xmlns:a16="http://schemas.microsoft.com/office/drawing/2014/main" id="{2DE28FE6-CDA3-40D1-A366-FB14810C43B2}"/>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72" name="Line 240">
          <a:extLst>
            <a:ext uri="{FF2B5EF4-FFF2-40B4-BE49-F238E27FC236}">
              <a16:creationId xmlns:a16="http://schemas.microsoft.com/office/drawing/2014/main" id="{7BC410D4-C538-43A7-B412-F92475B0213F}"/>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73" name="Line 241">
          <a:extLst>
            <a:ext uri="{FF2B5EF4-FFF2-40B4-BE49-F238E27FC236}">
              <a16:creationId xmlns:a16="http://schemas.microsoft.com/office/drawing/2014/main" id="{99B9F7FB-D559-45CD-BE5B-FC523FA7E60D}"/>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74" name="Line 242">
          <a:extLst>
            <a:ext uri="{FF2B5EF4-FFF2-40B4-BE49-F238E27FC236}">
              <a16:creationId xmlns:a16="http://schemas.microsoft.com/office/drawing/2014/main" id="{8F3E763E-B2D5-4D67-ADD9-03F91ADDF3A9}"/>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5" name="Line 250">
          <a:extLst>
            <a:ext uri="{FF2B5EF4-FFF2-40B4-BE49-F238E27FC236}">
              <a16:creationId xmlns:a16="http://schemas.microsoft.com/office/drawing/2014/main" id="{97260AF6-C8CF-4570-9ACB-4EC24E6ED28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6" name="Line 251">
          <a:extLst>
            <a:ext uri="{FF2B5EF4-FFF2-40B4-BE49-F238E27FC236}">
              <a16:creationId xmlns:a16="http://schemas.microsoft.com/office/drawing/2014/main" id="{D1791195-A194-4818-AB95-4E8EEDDC016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7" name="Line 259">
          <a:extLst>
            <a:ext uri="{FF2B5EF4-FFF2-40B4-BE49-F238E27FC236}">
              <a16:creationId xmlns:a16="http://schemas.microsoft.com/office/drawing/2014/main" id="{C09F8C70-0176-44F0-AF33-AF1650686C4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8" name="Line 260">
          <a:extLst>
            <a:ext uri="{FF2B5EF4-FFF2-40B4-BE49-F238E27FC236}">
              <a16:creationId xmlns:a16="http://schemas.microsoft.com/office/drawing/2014/main" id="{B7754E93-3D55-4F29-B12C-85393AF8905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9" name="Line 263">
          <a:extLst>
            <a:ext uri="{FF2B5EF4-FFF2-40B4-BE49-F238E27FC236}">
              <a16:creationId xmlns:a16="http://schemas.microsoft.com/office/drawing/2014/main" id="{7968C0C2-B974-4860-9F66-1E391B9FCEBE}"/>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0" name="Line 264">
          <a:extLst>
            <a:ext uri="{FF2B5EF4-FFF2-40B4-BE49-F238E27FC236}">
              <a16:creationId xmlns:a16="http://schemas.microsoft.com/office/drawing/2014/main" id="{A9A83973-72AD-4B38-AA29-169129289AF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81" name="Line 222">
          <a:extLst>
            <a:ext uri="{FF2B5EF4-FFF2-40B4-BE49-F238E27FC236}">
              <a16:creationId xmlns:a16="http://schemas.microsoft.com/office/drawing/2014/main" id="{C47F4533-25AF-4090-B0E6-B346B7955F3B}"/>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82" name="Line 223">
          <a:extLst>
            <a:ext uri="{FF2B5EF4-FFF2-40B4-BE49-F238E27FC236}">
              <a16:creationId xmlns:a16="http://schemas.microsoft.com/office/drawing/2014/main" id="{91D3B119-1BA4-4DF4-BAF6-8713D8A82E53}"/>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83" name="Line 224">
          <a:extLst>
            <a:ext uri="{FF2B5EF4-FFF2-40B4-BE49-F238E27FC236}">
              <a16:creationId xmlns:a16="http://schemas.microsoft.com/office/drawing/2014/main" id="{F382E857-9563-4B28-9382-DB7C3DF5A984}"/>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4" name="Line 226">
          <a:extLst>
            <a:ext uri="{FF2B5EF4-FFF2-40B4-BE49-F238E27FC236}">
              <a16:creationId xmlns:a16="http://schemas.microsoft.com/office/drawing/2014/main" id="{E8CFD7D2-B031-4A1B-BC67-2501D22496B6}"/>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5" name="Line 227">
          <a:extLst>
            <a:ext uri="{FF2B5EF4-FFF2-40B4-BE49-F238E27FC236}">
              <a16:creationId xmlns:a16="http://schemas.microsoft.com/office/drawing/2014/main" id="{1F37F11B-FBD3-44BC-B179-148AB2BD1DF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6" name="Line 229">
          <a:extLst>
            <a:ext uri="{FF2B5EF4-FFF2-40B4-BE49-F238E27FC236}">
              <a16:creationId xmlns:a16="http://schemas.microsoft.com/office/drawing/2014/main" id="{11EFC9BC-1684-47BA-ACED-F124E2D7AA7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7" name="Line 230">
          <a:extLst>
            <a:ext uri="{FF2B5EF4-FFF2-40B4-BE49-F238E27FC236}">
              <a16:creationId xmlns:a16="http://schemas.microsoft.com/office/drawing/2014/main" id="{F2FDAA0C-0862-42B0-B52C-34800018F5B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8" name="Line 232">
          <a:extLst>
            <a:ext uri="{FF2B5EF4-FFF2-40B4-BE49-F238E27FC236}">
              <a16:creationId xmlns:a16="http://schemas.microsoft.com/office/drawing/2014/main" id="{4D661A44-B43F-4D08-ABE2-858021D0904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9" name="Line 233">
          <a:extLst>
            <a:ext uri="{FF2B5EF4-FFF2-40B4-BE49-F238E27FC236}">
              <a16:creationId xmlns:a16="http://schemas.microsoft.com/office/drawing/2014/main" id="{C2766956-E8C5-4650-87DF-F42B4461899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0" name="Line 235">
          <a:extLst>
            <a:ext uri="{FF2B5EF4-FFF2-40B4-BE49-F238E27FC236}">
              <a16:creationId xmlns:a16="http://schemas.microsoft.com/office/drawing/2014/main" id="{4EBB0960-427A-4AB0-90CA-FAC2C0326E7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1" name="Line 236">
          <a:extLst>
            <a:ext uri="{FF2B5EF4-FFF2-40B4-BE49-F238E27FC236}">
              <a16:creationId xmlns:a16="http://schemas.microsoft.com/office/drawing/2014/main" id="{25BD67DF-2277-4746-BA09-4FFB7C27193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92" name="Line 238">
          <a:extLst>
            <a:ext uri="{FF2B5EF4-FFF2-40B4-BE49-F238E27FC236}">
              <a16:creationId xmlns:a16="http://schemas.microsoft.com/office/drawing/2014/main" id="{630913E4-D732-4898-9C1D-FDFC2374C114}"/>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93" name="Line 239">
          <a:extLst>
            <a:ext uri="{FF2B5EF4-FFF2-40B4-BE49-F238E27FC236}">
              <a16:creationId xmlns:a16="http://schemas.microsoft.com/office/drawing/2014/main" id="{D440767F-624B-4EED-8B00-000C4A3C60E5}"/>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94" name="Line 240">
          <a:extLst>
            <a:ext uri="{FF2B5EF4-FFF2-40B4-BE49-F238E27FC236}">
              <a16:creationId xmlns:a16="http://schemas.microsoft.com/office/drawing/2014/main" id="{CD6892A6-4FCC-47CE-BC13-E3AF826E8657}"/>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95" name="Line 241">
          <a:extLst>
            <a:ext uri="{FF2B5EF4-FFF2-40B4-BE49-F238E27FC236}">
              <a16:creationId xmlns:a16="http://schemas.microsoft.com/office/drawing/2014/main" id="{94BA3382-F052-4240-8084-2015ACEBE0CD}"/>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96" name="Line 242">
          <a:extLst>
            <a:ext uri="{FF2B5EF4-FFF2-40B4-BE49-F238E27FC236}">
              <a16:creationId xmlns:a16="http://schemas.microsoft.com/office/drawing/2014/main" id="{EA94E28C-3867-400C-BE49-7137624B967E}"/>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7" name="Line 250">
          <a:extLst>
            <a:ext uri="{FF2B5EF4-FFF2-40B4-BE49-F238E27FC236}">
              <a16:creationId xmlns:a16="http://schemas.microsoft.com/office/drawing/2014/main" id="{498B0007-278C-404A-A8D9-1B3FFE0417F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8" name="Line 251">
          <a:extLst>
            <a:ext uri="{FF2B5EF4-FFF2-40B4-BE49-F238E27FC236}">
              <a16:creationId xmlns:a16="http://schemas.microsoft.com/office/drawing/2014/main" id="{31B709EA-44C3-41FF-8408-4EFB3858F3B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9" name="Line 259">
          <a:extLst>
            <a:ext uri="{FF2B5EF4-FFF2-40B4-BE49-F238E27FC236}">
              <a16:creationId xmlns:a16="http://schemas.microsoft.com/office/drawing/2014/main" id="{5336F76C-E8DA-44B0-9063-53CB5D314AD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0" name="Line 260">
          <a:extLst>
            <a:ext uri="{FF2B5EF4-FFF2-40B4-BE49-F238E27FC236}">
              <a16:creationId xmlns:a16="http://schemas.microsoft.com/office/drawing/2014/main" id="{CCBFA205-21D4-483A-9A79-0AE5C07DDAE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1" name="Line 263">
          <a:extLst>
            <a:ext uri="{FF2B5EF4-FFF2-40B4-BE49-F238E27FC236}">
              <a16:creationId xmlns:a16="http://schemas.microsoft.com/office/drawing/2014/main" id="{D5053D53-78B4-49F3-A598-9CECF27187B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2" name="Line 264">
          <a:extLst>
            <a:ext uri="{FF2B5EF4-FFF2-40B4-BE49-F238E27FC236}">
              <a16:creationId xmlns:a16="http://schemas.microsoft.com/office/drawing/2014/main" id="{A23A453A-95E7-4135-AB81-01DB2271EA8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3" name="Line 266">
          <a:extLst>
            <a:ext uri="{FF2B5EF4-FFF2-40B4-BE49-F238E27FC236}">
              <a16:creationId xmlns:a16="http://schemas.microsoft.com/office/drawing/2014/main" id="{6D840379-4EA1-4278-BD27-9D054F4BAF0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4" name="Line 267">
          <a:extLst>
            <a:ext uri="{FF2B5EF4-FFF2-40B4-BE49-F238E27FC236}">
              <a16:creationId xmlns:a16="http://schemas.microsoft.com/office/drawing/2014/main" id="{8C2CCE4E-53C3-48A5-9948-212718AC543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5" name="Line 285">
          <a:extLst>
            <a:ext uri="{FF2B5EF4-FFF2-40B4-BE49-F238E27FC236}">
              <a16:creationId xmlns:a16="http://schemas.microsoft.com/office/drawing/2014/main" id="{957664E4-DB7C-4BC6-BF10-F049243AB31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6" name="Line 286">
          <a:extLst>
            <a:ext uri="{FF2B5EF4-FFF2-40B4-BE49-F238E27FC236}">
              <a16:creationId xmlns:a16="http://schemas.microsoft.com/office/drawing/2014/main" id="{B6075683-EBD2-46C1-81BC-C6E5287CED99}"/>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7" name="Line 288">
          <a:extLst>
            <a:ext uri="{FF2B5EF4-FFF2-40B4-BE49-F238E27FC236}">
              <a16:creationId xmlns:a16="http://schemas.microsoft.com/office/drawing/2014/main" id="{9C4AF66E-675B-4A7C-9C35-3C244995CDD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8" name="Line 289">
          <a:extLst>
            <a:ext uri="{FF2B5EF4-FFF2-40B4-BE49-F238E27FC236}">
              <a16:creationId xmlns:a16="http://schemas.microsoft.com/office/drawing/2014/main" id="{1B005B9C-72A2-4FFE-9A7B-7DFB2A78514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09" name="Line 293">
          <a:extLst>
            <a:ext uri="{FF2B5EF4-FFF2-40B4-BE49-F238E27FC236}">
              <a16:creationId xmlns:a16="http://schemas.microsoft.com/office/drawing/2014/main" id="{4B58103D-4968-4088-8709-FC515FE24DEE}"/>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0" name="Line 308">
          <a:extLst>
            <a:ext uri="{FF2B5EF4-FFF2-40B4-BE49-F238E27FC236}">
              <a16:creationId xmlns:a16="http://schemas.microsoft.com/office/drawing/2014/main" id="{161B6BA9-A165-4EAF-9E1F-6317017D6845}"/>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1" name="Line 309">
          <a:extLst>
            <a:ext uri="{FF2B5EF4-FFF2-40B4-BE49-F238E27FC236}">
              <a16:creationId xmlns:a16="http://schemas.microsoft.com/office/drawing/2014/main" id="{55E0F0F8-2DFA-4266-9FC1-9A50A99FA0D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2" name="Line 333">
          <a:extLst>
            <a:ext uri="{FF2B5EF4-FFF2-40B4-BE49-F238E27FC236}">
              <a16:creationId xmlns:a16="http://schemas.microsoft.com/office/drawing/2014/main" id="{0C72C00D-7DA2-481D-8E05-21A75C492385}"/>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3" name="Line 334">
          <a:extLst>
            <a:ext uri="{FF2B5EF4-FFF2-40B4-BE49-F238E27FC236}">
              <a16:creationId xmlns:a16="http://schemas.microsoft.com/office/drawing/2014/main" id="{08BBF8D0-27FA-4B5E-A477-8E4DA8716B8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4" name="Line 340">
          <a:extLst>
            <a:ext uri="{FF2B5EF4-FFF2-40B4-BE49-F238E27FC236}">
              <a16:creationId xmlns:a16="http://schemas.microsoft.com/office/drawing/2014/main" id="{2DA0F1BA-3FCF-4A05-A5E2-4308D342E73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5" name="Line 341">
          <a:extLst>
            <a:ext uri="{FF2B5EF4-FFF2-40B4-BE49-F238E27FC236}">
              <a16:creationId xmlns:a16="http://schemas.microsoft.com/office/drawing/2014/main" id="{77363D7A-2E80-45DD-A6E0-652F4AD8FBF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16" name="Line 222">
          <a:extLst>
            <a:ext uri="{FF2B5EF4-FFF2-40B4-BE49-F238E27FC236}">
              <a16:creationId xmlns:a16="http://schemas.microsoft.com/office/drawing/2014/main" id="{F0F54C68-F1AE-4124-9654-A189614EAB12}"/>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17" name="Line 223">
          <a:extLst>
            <a:ext uri="{FF2B5EF4-FFF2-40B4-BE49-F238E27FC236}">
              <a16:creationId xmlns:a16="http://schemas.microsoft.com/office/drawing/2014/main" id="{BE8A717A-1F61-43AC-B8EF-1561068E6808}"/>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18" name="Line 224">
          <a:extLst>
            <a:ext uri="{FF2B5EF4-FFF2-40B4-BE49-F238E27FC236}">
              <a16:creationId xmlns:a16="http://schemas.microsoft.com/office/drawing/2014/main" id="{0A32EF7A-DE36-4115-8763-221ACF762C32}"/>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9" name="Line 226">
          <a:extLst>
            <a:ext uri="{FF2B5EF4-FFF2-40B4-BE49-F238E27FC236}">
              <a16:creationId xmlns:a16="http://schemas.microsoft.com/office/drawing/2014/main" id="{5DC33EF3-BECF-413B-9DD7-1B2589018D3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0" name="Line 227">
          <a:extLst>
            <a:ext uri="{FF2B5EF4-FFF2-40B4-BE49-F238E27FC236}">
              <a16:creationId xmlns:a16="http://schemas.microsoft.com/office/drawing/2014/main" id="{F95109EB-08D0-4FF5-AB54-F35C4EB3259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1" name="Line 229">
          <a:extLst>
            <a:ext uri="{FF2B5EF4-FFF2-40B4-BE49-F238E27FC236}">
              <a16:creationId xmlns:a16="http://schemas.microsoft.com/office/drawing/2014/main" id="{A85B1E1E-6DCE-4BA4-A286-E83E62C600E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2" name="Line 230">
          <a:extLst>
            <a:ext uri="{FF2B5EF4-FFF2-40B4-BE49-F238E27FC236}">
              <a16:creationId xmlns:a16="http://schemas.microsoft.com/office/drawing/2014/main" id="{93A6E4C6-9AA5-408A-97AE-93B7A8EE3A99}"/>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3" name="Line 232">
          <a:extLst>
            <a:ext uri="{FF2B5EF4-FFF2-40B4-BE49-F238E27FC236}">
              <a16:creationId xmlns:a16="http://schemas.microsoft.com/office/drawing/2014/main" id="{327989AC-1F94-4349-8E4E-031ABDC4167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4" name="Line 233">
          <a:extLst>
            <a:ext uri="{FF2B5EF4-FFF2-40B4-BE49-F238E27FC236}">
              <a16:creationId xmlns:a16="http://schemas.microsoft.com/office/drawing/2014/main" id="{358D9C6A-FC0F-4018-92B6-70167D8F49A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5" name="Line 235">
          <a:extLst>
            <a:ext uri="{FF2B5EF4-FFF2-40B4-BE49-F238E27FC236}">
              <a16:creationId xmlns:a16="http://schemas.microsoft.com/office/drawing/2014/main" id="{63666D4C-599C-48B4-A8F8-1C43C567E03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6" name="Line 236">
          <a:extLst>
            <a:ext uri="{FF2B5EF4-FFF2-40B4-BE49-F238E27FC236}">
              <a16:creationId xmlns:a16="http://schemas.microsoft.com/office/drawing/2014/main" id="{93875313-6779-493D-A4EB-36437CF3545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127" name="Line 238">
          <a:extLst>
            <a:ext uri="{FF2B5EF4-FFF2-40B4-BE49-F238E27FC236}">
              <a16:creationId xmlns:a16="http://schemas.microsoft.com/office/drawing/2014/main" id="{6B704515-FC48-4429-ABFF-9431376BACEA}"/>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128" name="Line 239">
          <a:extLst>
            <a:ext uri="{FF2B5EF4-FFF2-40B4-BE49-F238E27FC236}">
              <a16:creationId xmlns:a16="http://schemas.microsoft.com/office/drawing/2014/main" id="{0E95FFF8-26DF-461A-8BA0-331821F75D8B}"/>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129" name="Line 240">
          <a:extLst>
            <a:ext uri="{FF2B5EF4-FFF2-40B4-BE49-F238E27FC236}">
              <a16:creationId xmlns:a16="http://schemas.microsoft.com/office/drawing/2014/main" id="{C8DE5B63-FF04-46E1-9857-ED0CA321334C}"/>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130" name="Line 241">
          <a:extLst>
            <a:ext uri="{FF2B5EF4-FFF2-40B4-BE49-F238E27FC236}">
              <a16:creationId xmlns:a16="http://schemas.microsoft.com/office/drawing/2014/main" id="{A394A728-2C34-442C-996F-1B3516A8AD1F}"/>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131" name="Line 242">
          <a:extLst>
            <a:ext uri="{FF2B5EF4-FFF2-40B4-BE49-F238E27FC236}">
              <a16:creationId xmlns:a16="http://schemas.microsoft.com/office/drawing/2014/main" id="{DB56652C-67F7-4B4D-98ED-F4C94D919DD0}"/>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2" name="Line 250">
          <a:extLst>
            <a:ext uri="{FF2B5EF4-FFF2-40B4-BE49-F238E27FC236}">
              <a16:creationId xmlns:a16="http://schemas.microsoft.com/office/drawing/2014/main" id="{54F6C985-E073-46A8-975C-001E7E56AE4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3" name="Line 251">
          <a:extLst>
            <a:ext uri="{FF2B5EF4-FFF2-40B4-BE49-F238E27FC236}">
              <a16:creationId xmlns:a16="http://schemas.microsoft.com/office/drawing/2014/main" id="{8F76CDD1-889B-49A4-A880-D5B0C47520A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4" name="Line 259">
          <a:extLst>
            <a:ext uri="{FF2B5EF4-FFF2-40B4-BE49-F238E27FC236}">
              <a16:creationId xmlns:a16="http://schemas.microsoft.com/office/drawing/2014/main" id="{F51DA0F3-3109-4A78-AE3A-C3AFAC77D1A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5" name="Line 260">
          <a:extLst>
            <a:ext uri="{FF2B5EF4-FFF2-40B4-BE49-F238E27FC236}">
              <a16:creationId xmlns:a16="http://schemas.microsoft.com/office/drawing/2014/main" id="{F076224F-E8B9-492F-B92B-F6106FB52A3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6" name="Line 263">
          <a:extLst>
            <a:ext uri="{FF2B5EF4-FFF2-40B4-BE49-F238E27FC236}">
              <a16:creationId xmlns:a16="http://schemas.microsoft.com/office/drawing/2014/main" id="{8AE70A4D-6E23-42E6-81E3-AC419324202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7" name="Line 264">
          <a:extLst>
            <a:ext uri="{FF2B5EF4-FFF2-40B4-BE49-F238E27FC236}">
              <a16:creationId xmlns:a16="http://schemas.microsoft.com/office/drawing/2014/main" id="{34BFF70A-F6EF-4C13-9FC5-36B5405A780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38" name="Line 222">
          <a:extLst>
            <a:ext uri="{FF2B5EF4-FFF2-40B4-BE49-F238E27FC236}">
              <a16:creationId xmlns:a16="http://schemas.microsoft.com/office/drawing/2014/main" id="{39BA7F3F-FEA4-4858-946B-57B57B22B6AE}"/>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39" name="Line 223">
          <a:extLst>
            <a:ext uri="{FF2B5EF4-FFF2-40B4-BE49-F238E27FC236}">
              <a16:creationId xmlns:a16="http://schemas.microsoft.com/office/drawing/2014/main" id="{5B6DDAF0-4609-463A-B8E8-97A2241CDA8C}"/>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40" name="Line 224">
          <a:extLst>
            <a:ext uri="{FF2B5EF4-FFF2-40B4-BE49-F238E27FC236}">
              <a16:creationId xmlns:a16="http://schemas.microsoft.com/office/drawing/2014/main" id="{2363611B-5254-43E5-A74F-C464DD9A9563}"/>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41" name="Line 226">
          <a:extLst>
            <a:ext uri="{FF2B5EF4-FFF2-40B4-BE49-F238E27FC236}">
              <a16:creationId xmlns:a16="http://schemas.microsoft.com/office/drawing/2014/main" id="{7125B107-C389-4CA0-831C-3E52B72E648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2" name="Line 227">
          <a:extLst>
            <a:ext uri="{FF2B5EF4-FFF2-40B4-BE49-F238E27FC236}">
              <a16:creationId xmlns:a16="http://schemas.microsoft.com/office/drawing/2014/main" id="{71D3E5E0-94FB-4BF6-B539-53008A57E73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43" name="Line 229">
          <a:extLst>
            <a:ext uri="{FF2B5EF4-FFF2-40B4-BE49-F238E27FC236}">
              <a16:creationId xmlns:a16="http://schemas.microsoft.com/office/drawing/2014/main" id="{5FC4357A-F963-458A-B34F-D3EF33308B9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4" name="Line 230">
          <a:extLst>
            <a:ext uri="{FF2B5EF4-FFF2-40B4-BE49-F238E27FC236}">
              <a16:creationId xmlns:a16="http://schemas.microsoft.com/office/drawing/2014/main" id="{FD8FFBB4-5ABB-4E40-B4CB-9C70BBB80E1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45" name="Line 232">
          <a:extLst>
            <a:ext uri="{FF2B5EF4-FFF2-40B4-BE49-F238E27FC236}">
              <a16:creationId xmlns:a16="http://schemas.microsoft.com/office/drawing/2014/main" id="{79A9E5E2-D12D-412A-824B-BFF7EBE7199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6" name="Line 233">
          <a:extLst>
            <a:ext uri="{FF2B5EF4-FFF2-40B4-BE49-F238E27FC236}">
              <a16:creationId xmlns:a16="http://schemas.microsoft.com/office/drawing/2014/main" id="{C228C1F6-4D01-413B-ACBD-9198FCC4775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47" name="Line 235">
          <a:extLst>
            <a:ext uri="{FF2B5EF4-FFF2-40B4-BE49-F238E27FC236}">
              <a16:creationId xmlns:a16="http://schemas.microsoft.com/office/drawing/2014/main" id="{2D32099D-70F4-4057-9FC9-9E429D7A5AF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8" name="Line 236">
          <a:extLst>
            <a:ext uri="{FF2B5EF4-FFF2-40B4-BE49-F238E27FC236}">
              <a16:creationId xmlns:a16="http://schemas.microsoft.com/office/drawing/2014/main" id="{3C451EF6-3A36-46C7-B9B0-7BA93C5E87C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149" name="Line 238">
          <a:extLst>
            <a:ext uri="{FF2B5EF4-FFF2-40B4-BE49-F238E27FC236}">
              <a16:creationId xmlns:a16="http://schemas.microsoft.com/office/drawing/2014/main" id="{1C524240-4813-42B1-B6C7-5C0932B8B90A}"/>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150" name="Line 239">
          <a:extLst>
            <a:ext uri="{FF2B5EF4-FFF2-40B4-BE49-F238E27FC236}">
              <a16:creationId xmlns:a16="http://schemas.microsoft.com/office/drawing/2014/main" id="{5191440C-8358-4EAD-BB20-3D7CC80021D0}"/>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151" name="Line 240">
          <a:extLst>
            <a:ext uri="{FF2B5EF4-FFF2-40B4-BE49-F238E27FC236}">
              <a16:creationId xmlns:a16="http://schemas.microsoft.com/office/drawing/2014/main" id="{B16E71BC-D2B1-4C91-8904-EBE6B9D6A02F}"/>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152" name="Line 241">
          <a:extLst>
            <a:ext uri="{FF2B5EF4-FFF2-40B4-BE49-F238E27FC236}">
              <a16:creationId xmlns:a16="http://schemas.microsoft.com/office/drawing/2014/main" id="{D9B8FCFA-1806-475B-B52D-031A91D981E8}"/>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153" name="Line 242">
          <a:extLst>
            <a:ext uri="{FF2B5EF4-FFF2-40B4-BE49-F238E27FC236}">
              <a16:creationId xmlns:a16="http://schemas.microsoft.com/office/drawing/2014/main" id="{6D7A8C0E-C581-487E-8765-1516743D58F1}"/>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54" name="Line 250">
          <a:extLst>
            <a:ext uri="{FF2B5EF4-FFF2-40B4-BE49-F238E27FC236}">
              <a16:creationId xmlns:a16="http://schemas.microsoft.com/office/drawing/2014/main" id="{2AEDAF64-4063-4F08-B38D-A0E0E45C310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55" name="Line 251">
          <a:extLst>
            <a:ext uri="{FF2B5EF4-FFF2-40B4-BE49-F238E27FC236}">
              <a16:creationId xmlns:a16="http://schemas.microsoft.com/office/drawing/2014/main" id="{A558B9BC-2018-4524-B992-42DC318EAF5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56" name="Line 259">
          <a:extLst>
            <a:ext uri="{FF2B5EF4-FFF2-40B4-BE49-F238E27FC236}">
              <a16:creationId xmlns:a16="http://schemas.microsoft.com/office/drawing/2014/main" id="{987E7311-07DF-4E42-B25F-70487C292F16}"/>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57" name="Line 260">
          <a:extLst>
            <a:ext uri="{FF2B5EF4-FFF2-40B4-BE49-F238E27FC236}">
              <a16:creationId xmlns:a16="http://schemas.microsoft.com/office/drawing/2014/main" id="{D779DA95-6C93-4730-9D49-048A1A461DC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58" name="Line 263">
          <a:extLst>
            <a:ext uri="{FF2B5EF4-FFF2-40B4-BE49-F238E27FC236}">
              <a16:creationId xmlns:a16="http://schemas.microsoft.com/office/drawing/2014/main" id="{19AC4979-4ECD-4693-BF97-EB4334DB4E4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59" name="Line 264">
          <a:extLst>
            <a:ext uri="{FF2B5EF4-FFF2-40B4-BE49-F238E27FC236}">
              <a16:creationId xmlns:a16="http://schemas.microsoft.com/office/drawing/2014/main" id="{DE7323F6-F49D-47FD-B1E7-1236BF24CEF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60" name="Line 266">
          <a:extLst>
            <a:ext uri="{FF2B5EF4-FFF2-40B4-BE49-F238E27FC236}">
              <a16:creationId xmlns:a16="http://schemas.microsoft.com/office/drawing/2014/main" id="{810E1268-C541-4161-BFD5-5FCFA8D6E04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61" name="Line 267">
          <a:extLst>
            <a:ext uri="{FF2B5EF4-FFF2-40B4-BE49-F238E27FC236}">
              <a16:creationId xmlns:a16="http://schemas.microsoft.com/office/drawing/2014/main" id="{53A14734-5E8D-453D-A3D2-80932251727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62" name="Line 285">
          <a:extLst>
            <a:ext uri="{FF2B5EF4-FFF2-40B4-BE49-F238E27FC236}">
              <a16:creationId xmlns:a16="http://schemas.microsoft.com/office/drawing/2014/main" id="{855838B5-B62C-4A19-8259-875A5AE6760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63" name="Line 286">
          <a:extLst>
            <a:ext uri="{FF2B5EF4-FFF2-40B4-BE49-F238E27FC236}">
              <a16:creationId xmlns:a16="http://schemas.microsoft.com/office/drawing/2014/main" id="{5E324D54-79EB-4BD3-BEFB-7EA7F6126D4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64" name="Line 288">
          <a:extLst>
            <a:ext uri="{FF2B5EF4-FFF2-40B4-BE49-F238E27FC236}">
              <a16:creationId xmlns:a16="http://schemas.microsoft.com/office/drawing/2014/main" id="{04056808-3AA3-4618-AE9D-CCFF0082CD2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65" name="Line 289">
          <a:extLst>
            <a:ext uri="{FF2B5EF4-FFF2-40B4-BE49-F238E27FC236}">
              <a16:creationId xmlns:a16="http://schemas.microsoft.com/office/drawing/2014/main" id="{ECB2D3CE-916D-4B09-8032-81DF0B2F442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66" name="Line 293">
          <a:extLst>
            <a:ext uri="{FF2B5EF4-FFF2-40B4-BE49-F238E27FC236}">
              <a16:creationId xmlns:a16="http://schemas.microsoft.com/office/drawing/2014/main" id="{99370BA7-BDBE-493A-B16F-060B520334DD}"/>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67" name="Line 222">
          <a:extLst>
            <a:ext uri="{FF2B5EF4-FFF2-40B4-BE49-F238E27FC236}">
              <a16:creationId xmlns:a16="http://schemas.microsoft.com/office/drawing/2014/main" id="{F1DC70C2-1E57-4070-AFEB-66C9267D0CA9}"/>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68" name="Line 223">
          <a:extLst>
            <a:ext uri="{FF2B5EF4-FFF2-40B4-BE49-F238E27FC236}">
              <a16:creationId xmlns:a16="http://schemas.microsoft.com/office/drawing/2014/main" id="{2BDACAE4-E956-4E63-B22F-1196D8E2B008}"/>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69" name="Line 224">
          <a:extLst>
            <a:ext uri="{FF2B5EF4-FFF2-40B4-BE49-F238E27FC236}">
              <a16:creationId xmlns:a16="http://schemas.microsoft.com/office/drawing/2014/main" id="{E454DA85-E5DE-4CEE-B4F2-6AF4AC07C1DE}"/>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70" name="Line 222">
          <a:extLst>
            <a:ext uri="{FF2B5EF4-FFF2-40B4-BE49-F238E27FC236}">
              <a16:creationId xmlns:a16="http://schemas.microsoft.com/office/drawing/2014/main" id="{26209DDC-629E-408F-B4E4-7191CDB766D7}"/>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71" name="Line 223">
          <a:extLst>
            <a:ext uri="{FF2B5EF4-FFF2-40B4-BE49-F238E27FC236}">
              <a16:creationId xmlns:a16="http://schemas.microsoft.com/office/drawing/2014/main" id="{CF66EB25-D0B7-49EB-9BBB-F8E3E6B157E2}"/>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72" name="Line 224">
          <a:extLst>
            <a:ext uri="{FF2B5EF4-FFF2-40B4-BE49-F238E27FC236}">
              <a16:creationId xmlns:a16="http://schemas.microsoft.com/office/drawing/2014/main" id="{14D683B7-C3BC-4E4B-8C5D-CD51E745527E}"/>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73" name="Line 226">
          <a:extLst>
            <a:ext uri="{FF2B5EF4-FFF2-40B4-BE49-F238E27FC236}">
              <a16:creationId xmlns:a16="http://schemas.microsoft.com/office/drawing/2014/main" id="{24D446F2-AB57-4DC5-A9B1-3BF5B7121F4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74" name="Line 227">
          <a:extLst>
            <a:ext uri="{FF2B5EF4-FFF2-40B4-BE49-F238E27FC236}">
              <a16:creationId xmlns:a16="http://schemas.microsoft.com/office/drawing/2014/main" id="{FE44A1F5-12BF-4F95-8A6A-6B077FFE559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75" name="Line 229">
          <a:extLst>
            <a:ext uri="{FF2B5EF4-FFF2-40B4-BE49-F238E27FC236}">
              <a16:creationId xmlns:a16="http://schemas.microsoft.com/office/drawing/2014/main" id="{6B9D2EA9-37F5-4392-A018-26E37580BEA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76" name="Line 230">
          <a:extLst>
            <a:ext uri="{FF2B5EF4-FFF2-40B4-BE49-F238E27FC236}">
              <a16:creationId xmlns:a16="http://schemas.microsoft.com/office/drawing/2014/main" id="{FEF0824C-1D1F-4C35-BCAA-777753E86249}"/>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77" name="Line 232">
          <a:extLst>
            <a:ext uri="{FF2B5EF4-FFF2-40B4-BE49-F238E27FC236}">
              <a16:creationId xmlns:a16="http://schemas.microsoft.com/office/drawing/2014/main" id="{FCC730BE-A148-4D96-B06E-D85CEA30B18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78" name="Line 233">
          <a:extLst>
            <a:ext uri="{FF2B5EF4-FFF2-40B4-BE49-F238E27FC236}">
              <a16:creationId xmlns:a16="http://schemas.microsoft.com/office/drawing/2014/main" id="{D0748E57-F7B2-4EC6-B9CD-1038FD80F7C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79" name="Line 235">
          <a:extLst>
            <a:ext uri="{FF2B5EF4-FFF2-40B4-BE49-F238E27FC236}">
              <a16:creationId xmlns:a16="http://schemas.microsoft.com/office/drawing/2014/main" id="{6D559602-A2B2-42B8-9331-EC9F3B28504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80" name="Line 236">
          <a:extLst>
            <a:ext uri="{FF2B5EF4-FFF2-40B4-BE49-F238E27FC236}">
              <a16:creationId xmlns:a16="http://schemas.microsoft.com/office/drawing/2014/main" id="{72050AFE-910B-4C0B-AE23-9EC878B196C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181" name="Line 238">
          <a:extLst>
            <a:ext uri="{FF2B5EF4-FFF2-40B4-BE49-F238E27FC236}">
              <a16:creationId xmlns:a16="http://schemas.microsoft.com/office/drawing/2014/main" id="{470A5F7C-077E-4909-89AE-7652B9FEEBA3}"/>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182" name="Line 239">
          <a:extLst>
            <a:ext uri="{FF2B5EF4-FFF2-40B4-BE49-F238E27FC236}">
              <a16:creationId xmlns:a16="http://schemas.microsoft.com/office/drawing/2014/main" id="{6573BDAC-9D87-4A2D-A14B-698ACB260EE1}"/>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183" name="Line 240">
          <a:extLst>
            <a:ext uri="{FF2B5EF4-FFF2-40B4-BE49-F238E27FC236}">
              <a16:creationId xmlns:a16="http://schemas.microsoft.com/office/drawing/2014/main" id="{ECFF1BE7-D915-40AF-95EF-09BBE1157A6A}"/>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184" name="Line 241">
          <a:extLst>
            <a:ext uri="{FF2B5EF4-FFF2-40B4-BE49-F238E27FC236}">
              <a16:creationId xmlns:a16="http://schemas.microsoft.com/office/drawing/2014/main" id="{0B4C3693-EE6A-4BD8-B533-9093EDDC5E85}"/>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185" name="Line 242">
          <a:extLst>
            <a:ext uri="{FF2B5EF4-FFF2-40B4-BE49-F238E27FC236}">
              <a16:creationId xmlns:a16="http://schemas.microsoft.com/office/drawing/2014/main" id="{8AF67A7D-BE75-49EC-91E5-99FFB90CF108}"/>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86" name="Line 250">
          <a:extLst>
            <a:ext uri="{FF2B5EF4-FFF2-40B4-BE49-F238E27FC236}">
              <a16:creationId xmlns:a16="http://schemas.microsoft.com/office/drawing/2014/main" id="{C50C588C-4F41-41CD-8CF3-1DC0D837239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87" name="Line 251">
          <a:extLst>
            <a:ext uri="{FF2B5EF4-FFF2-40B4-BE49-F238E27FC236}">
              <a16:creationId xmlns:a16="http://schemas.microsoft.com/office/drawing/2014/main" id="{BB0332D4-F9BF-4C18-A1E4-E74FC13784F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88" name="Line 259">
          <a:extLst>
            <a:ext uri="{FF2B5EF4-FFF2-40B4-BE49-F238E27FC236}">
              <a16:creationId xmlns:a16="http://schemas.microsoft.com/office/drawing/2014/main" id="{06D5FDBA-7775-4ED9-A780-5BC00B3BAD1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89" name="Line 260">
          <a:extLst>
            <a:ext uri="{FF2B5EF4-FFF2-40B4-BE49-F238E27FC236}">
              <a16:creationId xmlns:a16="http://schemas.microsoft.com/office/drawing/2014/main" id="{0608C74A-9B63-44EA-8C0B-2EBCFCD2762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90" name="Line 263">
          <a:extLst>
            <a:ext uri="{FF2B5EF4-FFF2-40B4-BE49-F238E27FC236}">
              <a16:creationId xmlns:a16="http://schemas.microsoft.com/office/drawing/2014/main" id="{B2F81B7C-7A0E-4EA4-95D5-66F1E7A798F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91" name="Line 264">
          <a:extLst>
            <a:ext uri="{FF2B5EF4-FFF2-40B4-BE49-F238E27FC236}">
              <a16:creationId xmlns:a16="http://schemas.microsoft.com/office/drawing/2014/main" id="{6C57ECAC-2D66-45AF-901D-F90AD8C2011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92" name="Line 222">
          <a:extLst>
            <a:ext uri="{FF2B5EF4-FFF2-40B4-BE49-F238E27FC236}">
              <a16:creationId xmlns:a16="http://schemas.microsoft.com/office/drawing/2014/main" id="{96BD2363-3CE3-4C32-A4ED-E6F3EE4DAC32}"/>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93" name="Line 223">
          <a:extLst>
            <a:ext uri="{FF2B5EF4-FFF2-40B4-BE49-F238E27FC236}">
              <a16:creationId xmlns:a16="http://schemas.microsoft.com/office/drawing/2014/main" id="{9A517C4F-70BD-42DF-B71A-97982FEBB4AF}"/>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94" name="Line 224">
          <a:extLst>
            <a:ext uri="{FF2B5EF4-FFF2-40B4-BE49-F238E27FC236}">
              <a16:creationId xmlns:a16="http://schemas.microsoft.com/office/drawing/2014/main" id="{B75D2C86-B223-47E5-BE79-694052759B1C}"/>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95" name="Line 226">
          <a:extLst>
            <a:ext uri="{FF2B5EF4-FFF2-40B4-BE49-F238E27FC236}">
              <a16:creationId xmlns:a16="http://schemas.microsoft.com/office/drawing/2014/main" id="{BF4C200B-F80C-4E56-A772-3E9BBB635A1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96" name="Line 227">
          <a:extLst>
            <a:ext uri="{FF2B5EF4-FFF2-40B4-BE49-F238E27FC236}">
              <a16:creationId xmlns:a16="http://schemas.microsoft.com/office/drawing/2014/main" id="{B8C822D5-A721-470C-A79B-0B211E424D3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97" name="Line 229">
          <a:extLst>
            <a:ext uri="{FF2B5EF4-FFF2-40B4-BE49-F238E27FC236}">
              <a16:creationId xmlns:a16="http://schemas.microsoft.com/office/drawing/2014/main" id="{51B34EA3-123C-4601-B377-4B75CD98300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98" name="Line 230">
          <a:extLst>
            <a:ext uri="{FF2B5EF4-FFF2-40B4-BE49-F238E27FC236}">
              <a16:creationId xmlns:a16="http://schemas.microsoft.com/office/drawing/2014/main" id="{E13DF443-35B1-4497-BF8F-0E1357D7C1E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99" name="Line 232">
          <a:extLst>
            <a:ext uri="{FF2B5EF4-FFF2-40B4-BE49-F238E27FC236}">
              <a16:creationId xmlns:a16="http://schemas.microsoft.com/office/drawing/2014/main" id="{BABC2EF1-E018-48CB-92B0-9047F5662826}"/>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00" name="Line 233">
          <a:extLst>
            <a:ext uri="{FF2B5EF4-FFF2-40B4-BE49-F238E27FC236}">
              <a16:creationId xmlns:a16="http://schemas.microsoft.com/office/drawing/2014/main" id="{23408722-4990-4FBD-B030-0D35D953286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01" name="Line 235">
          <a:extLst>
            <a:ext uri="{FF2B5EF4-FFF2-40B4-BE49-F238E27FC236}">
              <a16:creationId xmlns:a16="http://schemas.microsoft.com/office/drawing/2014/main" id="{652AB7AB-72BF-470C-A311-B16A8510B5B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02" name="Line 236">
          <a:extLst>
            <a:ext uri="{FF2B5EF4-FFF2-40B4-BE49-F238E27FC236}">
              <a16:creationId xmlns:a16="http://schemas.microsoft.com/office/drawing/2014/main" id="{179F57BE-DBDE-4C7A-844A-3435E0CD2BE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203" name="Line 238">
          <a:extLst>
            <a:ext uri="{FF2B5EF4-FFF2-40B4-BE49-F238E27FC236}">
              <a16:creationId xmlns:a16="http://schemas.microsoft.com/office/drawing/2014/main" id="{9E8A7FF2-5FBE-4148-8881-CA018D73614D}"/>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204" name="Line 239">
          <a:extLst>
            <a:ext uri="{FF2B5EF4-FFF2-40B4-BE49-F238E27FC236}">
              <a16:creationId xmlns:a16="http://schemas.microsoft.com/office/drawing/2014/main" id="{5B3C7F16-8B24-424D-AF59-8FD4891D6AB5}"/>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205" name="Line 240">
          <a:extLst>
            <a:ext uri="{FF2B5EF4-FFF2-40B4-BE49-F238E27FC236}">
              <a16:creationId xmlns:a16="http://schemas.microsoft.com/office/drawing/2014/main" id="{A02353CD-D939-476F-9D37-B83BA730CC45}"/>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206" name="Line 241">
          <a:extLst>
            <a:ext uri="{FF2B5EF4-FFF2-40B4-BE49-F238E27FC236}">
              <a16:creationId xmlns:a16="http://schemas.microsoft.com/office/drawing/2014/main" id="{433E73EA-8E73-4E56-8B65-EC6C6162C46A}"/>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207" name="Line 242">
          <a:extLst>
            <a:ext uri="{FF2B5EF4-FFF2-40B4-BE49-F238E27FC236}">
              <a16:creationId xmlns:a16="http://schemas.microsoft.com/office/drawing/2014/main" id="{F9F4234E-1D44-480D-B94A-08FAC47621BF}"/>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08" name="Line 250">
          <a:extLst>
            <a:ext uri="{FF2B5EF4-FFF2-40B4-BE49-F238E27FC236}">
              <a16:creationId xmlns:a16="http://schemas.microsoft.com/office/drawing/2014/main" id="{3E51328A-E3CF-4A56-BA0D-D2A90C01D63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09" name="Line 251">
          <a:extLst>
            <a:ext uri="{FF2B5EF4-FFF2-40B4-BE49-F238E27FC236}">
              <a16:creationId xmlns:a16="http://schemas.microsoft.com/office/drawing/2014/main" id="{8A1C8A0A-91A2-4737-B3AD-D4AD2B87F84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10" name="Line 259">
          <a:extLst>
            <a:ext uri="{FF2B5EF4-FFF2-40B4-BE49-F238E27FC236}">
              <a16:creationId xmlns:a16="http://schemas.microsoft.com/office/drawing/2014/main" id="{B94CC5C8-897F-497A-96DB-A5AA04131D5E}"/>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11" name="Line 260">
          <a:extLst>
            <a:ext uri="{FF2B5EF4-FFF2-40B4-BE49-F238E27FC236}">
              <a16:creationId xmlns:a16="http://schemas.microsoft.com/office/drawing/2014/main" id="{286E92B3-3091-4D73-A145-F85E89E0F20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12" name="Line 263">
          <a:extLst>
            <a:ext uri="{FF2B5EF4-FFF2-40B4-BE49-F238E27FC236}">
              <a16:creationId xmlns:a16="http://schemas.microsoft.com/office/drawing/2014/main" id="{F86DDA38-88C8-4C4A-AD2A-4113EDB1FA1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13" name="Line 264">
          <a:extLst>
            <a:ext uri="{FF2B5EF4-FFF2-40B4-BE49-F238E27FC236}">
              <a16:creationId xmlns:a16="http://schemas.microsoft.com/office/drawing/2014/main" id="{6179DE10-689E-4C47-AB05-6B0F8DCC1A9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14" name="Line 266">
          <a:extLst>
            <a:ext uri="{FF2B5EF4-FFF2-40B4-BE49-F238E27FC236}">
              <a16:creationId xmlns:a16="http://schemas.microsoft.com/office/drawing/2014/main" id="{BB8C9157-71AE-4FF4-875C-895599FB247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15" name="Line 267">
          <a:extLst>
            <a:ext uri="{FF2B5EF4-FFF2-40B4-BE49-F238E27FC236}">
              <a16:creationId xmlns:a16="http://schemas.microsoft.com/office/drawing/2014/main" id="{D31F7DA1-6313-4235-B8A8-2E3963DCE28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16" name="Line 285">
          <a:extLst>
            <a:ext uri="{FF2B5EF4-FFF2-40B4-BE49-F238E27FC236}">
              <a16:creationId xmlns:a16="http://schemas.microsoft.com/office/drawing/2014/main" id="{19851BF5-F48C-4013-B5BC-DB519A72781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17" name="Line 286">
          <a:extLst>
            <a:ext uri="{FF2B5EF4-FFF2-40B4-BE49-F238E27FC236}">
              <a16:creationId xmlns:a16="http://schemas.microsoft.com/office/drawing/2014/main" id="{898A810E-D377-44C2-8971-4D07D38EDBC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18" name="Line 288">
          <a:extLst>
            <a:ext uri="{FF2B5EF4-FFF2-40B4-BE49-F238E27FC236}">
              <a16:creationId xmlns:a16="http://schemas.microsoft.com/office/drawing/2014/main" id="{B8BB501B-FED8-45FE-968C-F220BB756F9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19" name="Line 289">
          <a:extLst>
            <a:ext uri="{FF2B5EF4-FFF2-40B4-BE49-F238E27FC236}">
              <a16:creationId xmlns:a16="http://schemas.microsoft.com/office/drawing/2014/main" id="{E94B5B0B-82F6-47BD-89BA-D2F785B8169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220" name="Line 293">
          <a:extLst>
            <a:ext uri="{FF2B5EF4-FFF2-40B4-BE49-F238E27FC236}">
              <a16:creationId xmlns:a16="http://schemas.microsoft.com/office/drawing/2014/main" id="{77EC40B0-6494-464B-A7A3-AAAFF872AB11}"/>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21" name="Line 308">
          <a:extLst>
            <a:ext uri="{FF2B5EF4-FFF2-40B4-BE49-F238E27FC236}">
              <a16:creationId xmlns:a16="http://schemas.microsoft.com/office/drawing/2014/main" id="{52F1EE34-754C-4F49-A3CC-FF4A8F213C73}"/>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22" name="Line 309">
          <a:extLst>
            <a:ext uri="{FF2B5EF4-FFF2-40B4-BE49-F238E27FC236}">
              <a16:creationId xmlns:a16="http://schemas.microsoft.com/office/drawing/2014/main" id="{BA476536-3339-4648-81BD-1E508771769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23" name="Line 333">
          <a:extLst>
            <a:ext uri="{FF2B5EF4-FFF2-40B4-BE49-F238E27FC236}">
              <a16:creationId xmlns:a16="http://schemas.microsoft.com/office/drawing/2014/main" id="{9AF401A1-BA53-4061-A9E5-EBD969F06634}"/>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24" name="Line 334">
          <a:extLst>
            <a:ext uri="{FF2B5EF4-FFF2-40B4-BE49-F238E27FC236}">
              <a16:creationId xmlns:a16="http://schemas.microsoft.com/office/drawing/2014/main" id="{A04843E4-1A4B-45CA-9A8D-DEF46278525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25" name="Line 340">
          <a:extLst>
            <a:ext uri="{FF2B5EF4-FFF2-40B4-BE49-F238E27FC236}">
              <a16:creationId xmlns:a16="http://schemas.microsoft.com/office/drawing/2014/main" id="{C52F879F-BF86-49EC-9611-BE01069D412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26" name="Line 341">
          <a:extLst>
            <a:ext uri="{FF2B5EF4-FFF2-40B4-BE49-F238E27FC236}">
              <a16:creationId xmlns:a16="http://schemas.microsoft.com/office/drawing/2014/main" id="{53211F55-1837-49AD-842B-37C97B18FCD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227" name="Line 222">
          <a:extLst>
            <a:ext uri="{FF2B5EF4-FFF2-40B4-BE49-F238E27FC236}">
              <a16:creationId xmlns:a16="http://schemas.microsoft.com/office/drawing/2014/main" id="{5DBF9274-F288-488E-8DD1-50DFAAB64655}"/>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228" name="Line 223">
          <a:extLst>
            <a:ext uri="{FF2B5EF4-FFF2-40B4-BE49-F238E27FC236}">
              <a16:creationId xmlns:a16="http://schemas.microsoft.com/office/drawing/2014/main" id="{64C2DD1E-2C32-48EB-8705-1C6E202A0BEC}"/>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229" name="Line 224">
          <a:extLst>
            <a:ext uri="{FF2B5EF4-FFF2-40B4-BE49-F238E27FC236}">
              <a16:creationId xmlns:a16="http://schemas.microsoft.com/office/drawing/2014/main" id="{1F5DB69A-A9D7-4B3E-9B2A-EBACBE01391F}"/>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30" name="Line 226">
          <a:extLst>
            <a:ext uri="{FF2B5EF4-FFF2-40B4-BE49-F238E27FC236}">
              <a16:creationId xmlns:a16="http://schemas.microsoft.com/office/drawing/2014/main" id="{344C1725-BDC2-443E-9434-5FBCA2765A3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31" name="Line 227">
          <a:extLst>
            <a:ext uri="{FF2B5EF4-FFF2-40B4-BE49-F238E27FC236}">
              <a16:creationId xmlns:a16="http://schemas.microsoft.com/office/drawing/2014/main" id="{C418D013-886E-40E3-B460-82645660BD1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32" name="Line 229">
          <a:extLst>
            <a:ext uri="{FF2B5EF4-FFF2-40B4-BE49-F238E27FC236}">
              <a16:creationId xmlns:a16="http://schemas.microsoft.com/office/drawing/2014/main" id="{A2E039A8-FF09-4F74-8336-AF6E40ACDF46}"/>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33" name="Line 230">
          <a:extLst>
            <a:ext uri="{FF2B5EF4-FFF2-40B4-BE49-F238E27FC236}">
              <a16:creationId xmlns:a16="http://schemas.microsoft.com/office/drawing/2014/main" id="{59A5A770-A5C7-45CD-987D-68A802679C0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34" name="Line 232">
          <a:extLst>
            <a:ext uri="{FF2B5EF4-FFF2-40B4-BE49-F238E27FC236}">
              <a16:creationId xmlns:a16="http://schemas.microsoft.com/office/drawing/2014/main" id="{7632E1EC-28B3-4685-B3F5-F20D7C867DC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35" name="Line 233">
          <a:extLst>
            <a:ext uri="{FF2B5EF4-FFF2-40B4-BE49-F238E27FC236}">
              <a16:creationId xmlns:a16="http://schemas.microsoft.com/office/drawing/2014/main" id="{20750D93-2461-4F58-AC52-005F82F3507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36" name="Line 235">
          <a:extLst>
            <a:ext uri="{FF2B5EF4-FFF2-40B4-BE49-F238E27FC236}">
              <a16:creationId xmlns:a16="http://schemas.microsoft.com/office/drawing/2014/main" id="{373A9FBB-4811-431F-BB12-EE25C758D92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37" name="Line 236">
          <a:extLst>
            <a:ext uri="{FF2B5EF4-FFF2-40B4-BE49-F238E27FC236}">
              <a16:creationId xmlns:a16="http://schemas.microsoft.com/office/drawing/2014/main" id="{65D168B8-B552-49B4-B34D-DD89BF294BF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238" name="Line 238">
          <a:extLst>
            <a:ext uri="{FF2B5EF4-FFF2-40B4-BE49-F238E27FC236}">
              <a16:creationId xmlns:a16="http://schemas.microsoft.com/office/drawing/2014/main" id="{E2A49AFB-E2FD-4301-ACDD-255F9CF0FB21}"/>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239" name="Line 239">
          <a:extLst>
            <a:ext uri="{FF2B5EF4-FFF2-40B4-BE49-F238E27FC236}">
              <a16:creationId xmlns:a16="http://schemas.microsoft.com/office/drawing/2014/main" id="{5A31E279-1D16-4639-85FF-BB3F1B2D3924}"/>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240" name="Line 240">
          <a:extLst>
            <a:ext uri="{FF2B5EF4-FFF2-40B4-BE49-F238E27FC236}">
              <a16:creationId xmlns:a16="http://schemas.microsoft.com/office/drawing/2014/main" id="{124B03E3-E088-4B82-B45E-E42B7CB7BB85}"/>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241" name="Line 241">
          <a:extLst>
            <a:ext uri="{FF2B5EF4-FFF2-40B4-BE49-F238E27FC236}">
              <a16:creationId xmlns:a16="http://schemas.microsoft.com/office/drawing/2014/main" id="{2EC3BFB9-AA4E-4D4C-99A3-59DBD5511906}"/>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242" name="Line 242">
          <a:extLst>
            <a:ext uri="{FF2B5EF4-FFF2-40B4-BE49-F238E27FC236}">
              <a16:creationId xmlns:a16="http://schemas.microsoft.com/office/drawing/2014/main" id="{4D01C0A2-D80E-4F06-BCB6-ADCDE31A26E2}"/>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43" name="Line 250">
          <a:extLst>
            <a:ext uri="{FF2B5EF4-FFF2-40B4-BE49-F238E27FC236}">
              <a16:creationId xmlns:a16="http://schemas.microsoft.com/office/drawing/2014/main" id="{14AB39C1-77C6-46A3-BA60-F465178647E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44" name="Line 251">
          <a:extLst>
            <a:ext uri="{FF2B5EF4-FFF2-40B4-BE49-F238E27FC236}">
              <a16:creationId xmlns:a16="http://schemas.microsoft.com/office/drawing/2014/main" id="{A224CC1A-0DE1-42B4-A90E-6478DD597E8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45" name="Line 259">
          <a:extLst>
            <a:ext uri="{FF2B5EF4-FFF2-40B4-BE49-F238E27FC236}">
              <a16:creationId xmlns:a16="http://schemas.microsoft.com/office/drawing/2014/main" id="{D2DE0CE3-2DF9-4CFF-A894-29A0213AE98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46" name="Line 260">
          <a:extLst>
            <a:ext uri="{FF2B5EF4-FFF2-40B4-BE49-F238E27FC236}">
              <a16:creationId xmlns:a16="http://schemas.microsoft.com/office/drawing/2014/main" id="{E5A9EA28-349C-4F41-AABF-C8535F0CB33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47" name="Line 263">
          <a:extLst>
            <a:ext uri="{FF2B5EF4-FFF2-40B4-BE49-F238E27FC236}">
              <a16:creationId xmlns:a16="http://schemas.microsoft.com/office/drawing/2014/main" id="{D2007E32-5C73-486E-BE5C-EFA91638DED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48" name="Line 264">
          <a:extLst>
            <a:ext uri="{FF2B5EF4-FFF2-40B4-BE49-F238E27FC236}">
              <a16:creationId xmlns:a16="http://schemas.microsoft.com/office/drawing/2014/main" id="{96524846-2EAD-4DC3-AA30-56C499EF9B9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249" name="Line 222">
          <a:extLst>
            <a:ext uri="{FF2B5EF4-FFF2-40B4-BE49-F238E27FC236}">
              <a16:creationId xmlns:a16="http://schemas.microsoft.com/office/drawing/2014/main" id="{297A792F-1431-47DB-ABD8-417AF54E1ACC}"/>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250" name="Line 223">
          <a:extLst>
            <a:ext uri="{FF2B5EF4-FFF2-40B4-BE49-F238E27FC236}">
              <a16:creationId xmlns:a16="http://schemas.microsoft.com/office/drawing/2014/main" id="{90377E83-2D5B-496D-8072-64EE548983F6}"/>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251" name="Line 224">
          <a:extLst>
            <a:ext uri="{FF2B5EF4-FFF2-40B4-BE49-F238E27FC236}">
              <a16:creationId xmlns:a16="http://schemas.microsoft.com/office/drawing/2014/main" id="{791941F4-65AF-4DE2-99A8-4A75338457AC}"/>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52" name="Line 226">
          <a:extLst>
            <a:ext uri="{FF2B5EF4-FFF2-40B4-BE49-F238E27FC236}">
              <a16:creationId xmlns:a16="http://schemas.microsoft.com/office/drawing/2014/main" id="{37E5D2A1-24C6-477E-BB1E-6D3EF7C701D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53" name="Line 227">
          <a:extLst>
            <a:ext uri="{FF2B5EF4-FFF2-40B4-BE49-F238E27FC236}">
              <a16:creationId xmlns:a16="http://schemas.microsoft.com/office/drawing/2014/main" id="{30E3B3BF-EBF4-4096-9947-027CD5ED2B9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54" name="Line 229">
          <a:extLst>
            <a:ext uri="{FF2B5EF4-FFF2-40B4-BE49-F238E27FC236}">
              <a16:creationId xmlns:a16="http://schemas.microsoft.com/office/drawing/2014/main" id="{256E25F6-D679-4040-82CA-1E8E1944760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55" name="Line 230">
          <a:extLst>
            <a:ext uri="{FF2B5EF4-FFF2-40B4-BE49-F238E27FC236}">
              <a16:creationId xmlns:a16="http://schemas.microsoft.com/office/drawing/2014/main" id="{13597195-30C0-4EC2-A670-940509E71F5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56" name="Line 232">
          <a:extLst>
            <a:ext uri="{FF2B5EF4-FFF2-40B4-BE49-F238E27FC236}">
              <a16:creationId xmlns:a16="http://schemas.microsoft.com/office/drawing/2014/main" id="{5CFB37C9-CB74-4279-86D1-E5AF0AF2098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57" name="Line 233">
          <a:extLst>
            <a:ext uri="{FF2B5EF4-FFF2-40B4-BE49-F238E27FC236}">
              <a16:creationId xmlns:a16="http://schemas.microsoft.com/office/drawing/2014/main" id="{03871F48-8B26-41CD-8BC8-71C22F4CCB7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58" name="Line 235">
          <a:extLst>
            <a:ext uri="{FF2B5EF4-FFF2-40B4-BE49-F238E27FC236}">
              <a16:creationId xmlns:a16="http://schemas.microsoft.com/office/drawing/2014/main" id="{AD441C0A-20EC-40E0-B54E-CBE0B3EB355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59" name="Line 236">
          <a:extLst>
            <a:ext uri="{FF2B5EF4-FFF2-40B4-BE49-F238E27FC236}">
              <a16:creationId xmlns:a16="http://schemas.microsoft.com/office/drawing/2014/main" id="{7EF49484-853B-412B-8F2A-995C6508AD5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260" name="Line 238">
          <a:extLst>
            <a:ext uri="{FF2B5EF4-FFF2-40B4-BE49-F238E27FC236}">
              <a16:creationId xmlns:a16="http://schemas.microsoft.com/office/drawing/2014/main" id="{E61A105E-D99B-41D4-A2AF-C69C0A82674B}"/>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261" name="Line 239">
          <a:extLst>
            <a:ext uri="{FF2B5EF4-FFF2-40B4-BE49-F238E27FC236}">
              <a16:creationId xmlns:a16="http://schemas.microsoft.com/office/drawing/2014/main" id="{6149A21A-930B-4D21-A2A4-3D212E155334}"/>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262" name="Line 240">
          <a:extLst>
            <a:ext uri="{FF2B5EF4-FFF2-40B4-BE49-F238E27FC236}">
              <a16:creationId xmlns:a16="http://schemas.microsoft.com/office/drawing/2014/main" id="{61F5E85C-E47C-4A44-8DB1-CA33C3D0067F}"/>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263" name="Line 241">
          <a:extLst>
            <a:ext uri="{FF2B5EF4-FFF2-40B4-BE49-F238E27FC236}">
              <a16:creationId xmlns:a16="http://schemas.microsoft.com/office/drawing/2014/main" id="{F4307009-3E48-44B5-938C-F10C215C0727}"/>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264" name="Line 242">
          <a:extLst>
            <a:ext uri="{FF2B5EF4-FFF2-40B4-BE49-F238E27FC236}">
              <a16:creationId xmlns:a16="http://schemas.microsoft.com/office/drawing/2014/main" id="{0F9CB26A-09BB-4726-844B-8F238E0BB0DB}"/>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65" name="Line 250">
          <a:extLst>
            <a:ext uri="{FF2B5EF4-FFF2-40B4-BE49-F238E27FC236}">
              <a16:creationId xmlns:a16="http://schemas.microsoft.com/office/drawing/2014/main" id="{C5C8BE5B-6DE3-46B2-B120-B4B666B9819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66" name="Line 251">
          <a:extLst>
            <a:ext uri="{FF2B5EF4-FFF2-40B4-BE49-F238E27FC236}">
              <a16:creationId xmlns:a16="http://schemas.microsoft.com/office/drawing/2014/main" id="{7B455B44-D66C-49DA-9B8D-5CB02ED4F6E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67" name="Line 259">
          <a:extLst>
            <a:ext uri="{FF2B5EF4-FFF2-40B4-BE49-F238E27FC236}">
              <a16:creationId xmlns:a16="http://schemas.microsoft.com/office/drawing/2014/main" id="{2F4E6F1B-F6A9-4108-9E5C-46D540D65FD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68" name="Line 260">
          <a:extLst>
            <a:ext uri="{FF2B5EF4-FFF2-40B4-BE49-F238E27FC236}">
              <a16:creationId xmlns:a16="http://schemas.microsoft.com/office/drawing/2014/main" id="{70639005-489B-48E8-9C43-E0900839212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69" name="Line 263">
          <a:extLst>
            <a:ext uri="{FF2B5EF4-FFF2-40B4-BE49-F238E27FC236}">
              <a16:creationId xmlns:a16="http://schemas.microsoft.com/office/drawing/2014/main" id="{04B07DD8-B1B7-4A1B-AB12-8785520FCAF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70" name="Line 264">
          <a:extLst>
            <a:ext uri="{FF2B5EF4-FFF2-40B4-BE49-F238E27FC236}">
              <a16:creationId xmlns:a16="http://schemas.microsoft.com/office/drawing/2014/main" id="{9F75BD9D-CA94-44F0-ACDF-CA32ED109C0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71" name="Line 266">
          <a:extLst>
            <a:ext uri="{FF2B5EF4-FFF2-40B4-BE49-F238E27FC236}">
              <a16:creationId xmlns:a16="http://schemas.microsoft.com/office/drawing/2014/main" id="{39A935E8-318F-4110-A394-C32692D1692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72" name="Line 267">
          <a:extLst>
            <a:ext uri="{FF2B5EF4-FFF2-40B4-BE49-F238E27FC236}">
              <a16:creationId xmlns:a16="http://schemas.microsoft.com/office/drawing/2014/main" id="{742AF466-CD52-47C4-9A96-B863B778816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273" name="Line 222">
          <a:extLst>
            <a:ext uri="{FF2B5EF4-FFF2-40B4-BE49-F238E27FC236}">
              <a16:creationId xmlns:a16="http://schemas.microsoft.com/office/drawing/2014/main" id="{21D001C9-EB82-4ABD-A58F-D907DE2D2805}"/>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274" name="Line 223">
          <a:extLst>
            <a:ext uri="{FF2B5EF4-FFF2-40B4-BE49-F238E27FC236}">
              <a16:creationId xmlns:a16="http://schemas.microsoft.com/office/drawing/2014/main" id="{D79BE415-4047-4293-83EA-E0460ADEE735}"/>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275" name="Line 224">
          <a:extLst>
            <a:ext uri="{FF2B5EF4-FFF2-40B4-BE49-F238E27FC236}">
              <a16:creationId xmlns:a16="http://schemas.microsoft.com/office/drawing/2014/main" id="{D558E835-F56B-4B01-8A4C-4EBD303913E7}"/>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76" name="Line 226">
          <a:extLst>
            <a:ext uri="{FF2B5EF4-FFF2-40B4-BE49-F238E27FC236}">
              <a16:creationId xmlns:a16="http://schemas.microsoft.com/office/drawing/2014/main" id="{9152D5F4-72FE-4D64-9130-2664499950E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77" name="Line 227">
          <a:extLst>
            <a:ext uri="{FF2B5EF4-FFF2-40B4-BE49-F238E27FC236}">
              <a16:creationId xmlns:a16="http://schemas.microsoft.com/office/drawing/2014/main" id="{1EEE9AD2-56A5-4F27-A727-9BCE33D5012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78" name="Line 229">
          <a:extLst>
            <a:ext uri="{FF2B5EF4-FFF2-40B4-BE49-F238E27FC236}">
              <a16:creationId xmlns:a16="http://schemas.microsoft.com/office/drawing/2014/main" id="{76300FE5-130B-438A-9CBF-4CEAA65DABF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79" name="Line 230">
          <a:extLst>
            <a:ext uri="{FF2B5EF4-FFF2-40B4-BE49-F238E27FC236}">
              <a16:creationId xmlns:a16="http://schemas.microsoft.com/office/drawing/2014/main" id="{A65C21AD-F09F-4739-A533-8C0B1D54250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80" name="Line 232">
          <a:extLst>
            <a:ext uri="{FF2B5EF4-FFF2-40B4-BE49-F238E27FC236}">
              <a16:creationId xmlns:a16="http://schemas.microsoft.com/office/drawing/2014/main" id="{A8F99702-1F79-4834-9B54-CCA023C7A4B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81" name="Line 233">
          <a:extLst>
            <a:ext uri="{FF2B5EF4-FFF2-40B4-BE49-F238E27FC236}">
              <a16:creationId xmlns:a16="http://schemas.microsoft.com/office/drawing/2014/main" id="{B5C641E0-0C6D-4D33-A9AD-AD37E1B6BD8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82" name="Line 235">
          <a:extLst>
            <a:ext uri="{FF2B5EF4-FFF2-40B4-BE49-F238E27FC236}">
              <a16:creationId xmlns:a16="http://schemas.microsoft.com/office/drawing/2014/main" id="{4A638EFD-AA74-42BD-852F-DCDE2104F6F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83" name="Line 236">
          <a:extLst>
            <a:ext uri="{FF2B5EF4-FFF2-40B4-BE49-F238E27FC236}">
              <a16:creationId xmlns:a16="http://schemas.microsoft.com/office/drawing/2014/main" id="{71D52CBC-824F-4DB5-A630-9756FF77F3A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284" name="Line 238">
          <a:extLst>
            <a:ext uri="{FF2B5EF4-FFF2-40B4-BE49-F238E27FC236}">
              <a16:creationId xmlns:a16="http://schemas.microsoft.com/office/drawing/2014/main" id="{7425AAC1-8F9C-4F07-92A4-35E318E2A89A}"/>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285" name="Line 239">
          <a:extLst>
            <a:ext uri="{FF2B5EF4-FFF2-40B4-BE49-F238E27FC236}">
              <a16:creationId xmlns:a16="http://schemas.microsoft.com/office/drawing/2014/main" id="{D0573AAA-A244-4BC5-AB27-D09A46E5E3DF}"/>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286" name="Line 240">
          <a:extLst>
            <a:ext uri="{FF2B5EF4-FFF2-40B4-BE49-F238E27FC236}">
              <a16:creationId xmlns:a16="http://schemas.microsoft.com/office/drawing/2014/main" id="{4A28D7DB-BB23-483B-AA21-7C6CE755B280}"/>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287" name="Line 241">
          <a:extLst>
            <a:ext uri="{FF2B5EF4-FFF2-40B4-BE49-F238E27FC236}">
              <a16:creationId xmlns:a16="http://schemas.microsoft.com/office/drawing/2014/main" id="{3639237C-6F0A-42C9-85D4-1409CFD08E10}"/>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288" name="Line 242">
          <a:extLst>
            <a:ext uri="{FF2B5EF4-FFF2-40B4-BE49-F238E27FC236}">
              <a16:creationId xmlns:a16="http://schemas.microsoft.com/office/drawing/2014/main" id="{CAFF9ADD-D9D2-4F29-AF7B-8444B889904F}"/>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89" name="Line 250">
          <a:extLst>
            <a:ext uri="{FF2B5EF4-FFF2-40B4-BE49-F238E27FC236}">
              <a16:creationId xmlns:a16="http://schemas.microsoft.com/office/drawing/2014/main" id="{45F9DF24-E65D-4CF1-9379-9CE85F3F502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90" name="Line 251">
          <a:extLst>
            <a:ext uri="{FF2B5EF4-FFF2-40B4-BE49-F238E27FC236}">
              <a16:creationId xmlns:a16="http://schemas.microsoft.com/office/drawing/2014/main" id="{626E0E7D-46B0-4EB8-BD3B-B48AA7AB656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91" name="Line 259">
          <a:extLst>
            <a:ext uri="{FF2B5EF4-FFF2-40B4-BE49-F238E27FC236}">
              <a16:creationId xmlns:a16="http://schemas.microsoft.com/office/drawing/2014/main" id="{BDABA61B-D332-4869-B7B9-161733C588F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92" name="Line 260">
          <a:extLst>
            <a:ext uri="{FF2B5EF4-FFF2-40B4-BE49-F238E27FC236}">
              <a16:creationId xmlns:a16="http://schemas.microsoft.com/office/drawing/2014/main" id="{D86E7D6F-4D83-40A4-AB0B-2C84EA9130D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93" name="Line 263">
          <a:extLst>
            <a:ext uri="{FF2B5EF4-FFF2-40B4-BE49-F238E27FC236}">
              <a16:creationId xmlns:a16="http://schemas.microsoft.com/office/drawing/2014/main" id="{24B68CAD-240A-4F8E-8A37-544F64CC15D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94" name="Line 264">
          <a:extLst>
            <a:ext uri="{FF2B5EF4-FFF2-40B4-BE49-F238E27FC236}">
              <a16:creationId xmlns:a16="http://schemas.microsoft.com/office/drawing/2014/main" id="{665EE289-E529-4538-8954-398D61B35CF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295" name="Line 222">
          <a:extLst>
            <a:ext uri="{FF2B5EF4-FFF2-40B4-BE49-F238E27FC236}">
              <a16:creationId xmlns:a16="http://schemas.microsoft.com/office/drawing/2014/main" id="{6D5B0577-D2C8-489B-9AAE-33499314B5FD}"/>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296" name="Line 223">
          <a:extLst>
            <a:ext uri="{FF2B5EF4-FFF2-40B4-BE49-F238E27FC236}">
              <a16:creationId xmlns:a16="http://schemas.microsoft.com/office/drawing/2014/main" id="{B6AE9C4F-B183-47F0-8738-FBA46F63B4A3}"/>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297" name="Line 224">
          <a:extLst>
            <a:ext uri="{FF2B5EF4-FFF2-40B4-BE49-F238E27FC236}">
              <a16:creationId xmlns:a16="http://schemas.microsoft.com/office/drawing/2014/main" id="{F56F41C7-8399-48D7-B17F-C16A0A5A85D4}"/>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298" name="Line 226">
          <a:extLst>
            <a:ext uri="{FF2B5EF4-FFF2-40B4-BE49-F238E27FC236}">
              <a16:creationId xmlns:a16="http://schemas.microsoft.com/office/drawing/2014/main" id="{C57653F3-7A8F-407F-A216-472D83204D5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299" name="Line 227">
          <a:extLst>
            <a:ext uri="{FF2B5EF4-FFF2-40B4-BE49-F238E27FC236}">
              <a16:creationId xmlns:a16="http://schemas.microsoft.com/office/drawing/2014/main" id="{73C08FBF-5F8D-4239-B983-CCEE27A60E3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00" name="Line 229">
          <a:extLst>
            <a:ext uri="{FF2B5EF4-FFF2-40B4-BE49-F238E27FC236}">
              <a16:creationId xmlns:a16="http://schemas.microsoft.com/office/drawing/2014/main" id="{050046CE-AE5F-455B-BC17-EA5ED491C21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01" name="Line 230">
          <a:extLst>
            <a:ext uri="{FF2B5EF4-FFF2-40B4-BE49-F238E27FC236}">
              <a16:creationId xmlns:a16="http://schemas.microsoft.com/office/drawing/2014/main" id="{D1409C30-D7EB-4B60-9D8F-0B848C7A1F6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02" name="Line 232">
          <a:extLst>
            <a:ext uri="{FF2B5EF4-FFF2-40B4-BE49-F238E27FC236}">
              <a16:creationId xmlns:a16="http://schemas.microsoft.com/office/drawing/2014/main" id="{60CD97D8-8C59-4BF1-8B36-A29B745A20F6}"/>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03" name="Line 233">
          <a:extLst>
            <a:ext uri="{FF2B5EF4-FFF2-40B4-BE49-F238E27FC236}">
              <a16:creationId xmlns:a16="http://schemas.microsoft.com/office/drawing/2014/main" id="{BD968183-D1DC-4301-9394-AB3996AB349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04" name="Line 235">
          <a:extLst>
            <a:ext uri="{FF2B5EF4-FFF2-40B4-BE49-F238E27FC236}">
              <a16:creationId xmlns:a16="http://schemas.microsoft.com/office/drawing/2014/main" id="{5DE194C3-EDC8-4B6D-8601-C51E701EDCCE}"/>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05" name="Line 236">
          <a:extLst>
            <a:ext uri="{FF2B5EF4-FFF2-40B4-BE49-F238E27FC236}">
              <a16:creationId xmlns:a16="http://schemas.microsoft.com/office/drawing/2014/main" id="{711F6102-0D20-4816-9297-9EDA5196EDA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306" name="Line 238">
          <a:extLst>
            <a:ext uri="{FF2B5EF4-FFF2-40B4-BE49-F238E27FC236}">
              <a16:creationId xmlns:a16="http://schemas.microsoft.com/office/drawing/2014/main" id="{18A35EE8-217B-4D47-B042-8678A2A606D1}"/>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307" name="Line 239">
          <a:extLst>
            <a:ext uri="{FF2B5EF4-FFF2-40B4-BE49-F238E27FC236}">
              <a16:creationId xmlns:a16="http://schemas.microsoft.com/office/drawing/2014/main" id="{5503D06A-9033-404A-99E9-A315B3CBFB1D}"/>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308" name="Line 240">
          <a:extLst>
            <a:ext uri="{FF2B5EF4-FFF2-40B4-BE49-F238E27FC236}">
              <a16:creationId xmlns:a16="http://schemas.microsoft.com/office/drawing/2014/main" id="{E14C662C-FA14-4E3A-AF91-000657178C35}"/>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309" name="Line 241">
          <a:extLst>
            <a:ext uri="{FF2B5EF4-FFF2-40B4-BE49-F238E27FC236}">
              <a16:creationId xmlns:a16="http://schemas.microsoft.com/office/drawing/2014/main" id="{1223AD78-61C6-494E-87E9-BAA4376CB444}"/>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310" name="Line 242">
          <a:extLst>
            <a:ext uri="{FF2B5EF4-FFF2-40B4-BE49-F238E27FC236}">
              <a16:creationId xmlns:a16="http://schemas.microsoft.com/office/drawing/2014/main" id="{9D960440-470B-4098-A8D5-680987B92044}"/>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11" name="Line 250">
          <a:extLst>
            <a:ext uri="{FF2B5EF4-FFF2-40B4-BE49-F238E27FC236}">
              <a16:creationId xmlns:a16="http://schemas.microsoft.com/office/drawing/2014/main" id="{4B955B79-05DB-4EEF-B9EF-BB793D18F08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12" name="Line 251">
          <a:extLst>
            <a:ext uri="{FF2B5EF4-FFF2-40B4-BE49-F238E27FC236}">
              <a16:creationId xmlns:a16="http://schemas.microsoft.com/office/drawing/2014/main" id="{3CE7592E-3B3A-43C1-B05E-656FBEC58CE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13" name="Line 259">
          <a:extLst>
            <a:ext uri="{FF2B5EF4-FFF2-40B4-BE49-F238E27FC236}">
              <a16:creationId xmlns:a16="http://schemas.microsoft.com/office/drawing/2014/main" id="{D9A478B9-3396-4DF8-88BD-ED9335FD6E5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14" name="Line 260">
          <a:extLst>
            <a:ext uri="{FF2B5EF4-FFF2-40B4-BE49-F238E27FC236}">
              <a16:creationId xmlns:a16="http://schemas.microsoft.com/office/drawing/2014/main" id="{9504453B-98FA-486F-8CBA-661BA3E0856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15" name="Line 263">
          <a:extLst>
            <a:ext uri="{FF2B5EF4-FFF2-40B4-BE49-F238E27FC236}">
              <a16:creationId xmlns:a16="http://schemas.microsoft.com/office/drawing/2014/main" id="{A6CF8AE5-BAE4-4F16-8B4F-9268B0237ED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16" name="Line 264">
          <a:extLst>
            <a:ext uri="{FF2B5EF4-FFF2-40B4-BE49-F238E27FC236}">
              <a16:creationId xmlns:a16="http://schemas.microsoft.com/office/drawing/2014/main" id="{08B97D14-680C-4901-982A-6335D84DC3B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17" name="Line 266">
          <a:extLst>
            <a:ext uri="{FF2B5EF4-FFF2-40B4-BE49-F238E27FC236}">
              <a16:creationId xmlns:a16="http://schemas.microsoft.com/office/drawing/2014/main" id="{EB0F6BC1-160B-466D-8A3F-84D6DB14B0B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18" name="Line 267">
          <a:extLst>
            <a:ext uri="{FF2B5EF4-FFF2-40B4-BE49-F238E27FC236}">
              <a16:creationId xmlns:a16="http://schemas.microsoft.com/office/drawing/2014/main" id="{CE456D53-272C-4793-A48B-7A24F88CDD1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19" name="Line 285">
          <a:extLst>
            <a:ext uri="{FF2B5EF4-FFF2-40B4-BE49-F238E27FC236}">
              <a16:creationId xmlns:a16="http://schemas.microsoft.com/office/drawing/2014/main" id="{90A73D0E-ECB9-43D9-9417-E3B293A55AA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20" name="Line 286">
          <a:extLst>
            <a:ext uri="{FF2B5EF4-FFF2-40B4-BE49-F238E27FC236}">
              <a16:creationId xmlns:a16="http://schemas.microsoft.com/office/drawing/2014/main" id="{4B3260F4-B00B-4C26-9EFA-1B5837F1C89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21" name="Line 288">
          <a:extLst>
            <a:ext uri="{FF2B5EF4-FFF2-40B4-BE49-F238E27FC236}">
              <a16:creationId xmlns:a16="http://schemas.microsoft.com/office/drawing/2014/main" id="{26338638-6BF9-446B-8874-537DFDAE314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22" name="Line 289">
          <a:extLst>
            <a:ext uri="{FF2B5EF4-FFF2-40B4-BE49-F238E27FC236}">
              <a16:creationId xmlns:a16="http://schemas.microsoft.com/office/drawing/2014/main" id="{297B6696-9F1E-47C3-B121-D6A90D6C6D6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23" name="Line 308">
          <a:extLst>
            <a:ext uri="{FF2B5EF4-FFF2-40B4-BE49-F238E27FC236}">
              <a16:creationId xmlns:a16="http://schemas.microsoft.com/office/drawing/2014/main" id="{78A6853A-6509-41EB-9D80-B15DAF2D5632}"/>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24" name="Line 309">
          <a:extLst>
            <a:ext uri="{FF2B5EF4-FFF2-40B4-BE49-F238E27FC236}">
              <a16:creationId xmlns:a16="http://schemas.microsoft.com/office/drawing/2014/main" id="{E0C3E550-66F9-42C9-81B2-C7BA9B049AE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25" name="Line 333">
          <a:extLst>
            <a:ext uri="{FF2B5EF4-FFF2-40B4-BE49-F238E27FC236}">
              <a16:creationId xmlns:a16="http://schemas.microsoft.com/office/drawing/2014/main" id="{CC30B2EF-EEFF-4646-ABE1-2FE4AA28229B}"/>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26" name="Line 334">
          <a:extLst>
            <a:ext uri="{FF2B5EF4-FFF2-40B4-BE49-F238E27FC236}">
              <a16:creationId xmlns:a16="http://schemas.microsoft.com/office/drawing/2014/main" id="{51DBDED6-F566-4E0E-992B-58B227B77EC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27" name="Line 340">
          <a:extLst>
            <a:ext uri="{FF2B5EF4-FFF2-40B4-BE49-F238E27FC236}">
              <a16:creationId xmlns:a16="http://schemas.microsoft.com/office/drawing/2014/main" id="{663F3514-6D60-45C2-84FF-AB57D9A149D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28" name="Line 341">
          <a:extLst>
            <a:ext uri="{FF2B5EF4-FFF2-40B4-BE49-F238E27FC236}">
              <a16:creationId xmlns:a16="http://schemas.microsoft.com/office/drawing/2014/main" id="{D280ED1E-F6CA-4C39-BD9F-05AD9EC57C3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323850</xdr:colOff>
      <xdr:row>0</xdr:row>
      <xdr:rowOff>209550</xdr:rowOff>
    </xdr:from>
    <xdr:to>
      <xdr:col>2</xdr:col>
      <xdr:colOff>447675</xdr:colOff>
      <xdr:row>0</xdr:row>
      <xdr:rowOff>209550</xdr:rowOff>
    </xdr:to>
    <xdr:sp macro="" textlink="">
      <xdr:nvSpPr>
        <xdr:cNvPr id="329" name="Line 248">
          <a:extLst>
            <a:ext uri="{FF2B5EF4-FFF2-40B4-BE49-F238E27FC236}">
              <a16:creationId xmlns:a16="http://schemas.microsoft.com/office/drawing/2014/main" id="{FD23FF1E-2FD4-4540-8810-6683DDBF63BE}"/>
            </a:ext>
          </a:extLst>
        </xdr:cNvPr>
        <xdr:cNvSpPr>
          <a:spLocks noChangeShapeType="1"/>
        </xdr:cNvSpPr>
      </xdr:nvSpPr>
      <xdr:spPr bwMode="auto">
        <a:xfrm>
          <a:off x="6610350" y="209550"/>
          <a:ext cx="1238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323850</xdr:colOff>
      <xdr:row>0</xdr:row>
      <xdr:rowOff>209550</xdr:rowOff>
    </xdr:from>
    <xdr:to>
      <xdr:col>2</xdr:col>
      <xdr:colOff>438150</xdr:colOff>
      <xdr:row>0</xdr:row>
      <xdr:rowOff>209550</xdr:rowOff>
    </xdr:to>
    <xdr:sp macro="" textlink="">
      <xdr:nvSpPr>
        <xdr:cNvPr id="330" name="Line 248">
          <a:extLst>
            <a:ext uri="{FF2B5EF4-FFF2-40B4-BE49-F238E27FC236}">
              <a16:creationId xmlns:a16="http://schemas.microsoft.com/office/drawing/2014/main" id="{1E9FF174-D75E-4C36-BC74-E5172636714D}"/>
            </a:ext>
          </a:extLst>
        </xdr:cNvPr>
        <xdr:cNvSpPr>
          <a:spLocks noChangeShapeType="1"/>
        </xdr:cNvSpPr>
      </xdr:nvSpPr>
      <xdr:spPr bwMode="auto">
        <a:xfrm flipH="1">
          <a:off x="6610350" y="209550"/>
          <a:ext cx="1143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31" name="Line 340">
          <a:extLst>
            <a:ext uri="{FF2B5EF4-FFF2-40B4-BE49-F238E27FC236}">
              <a16:creationId xmlns:a16="http://schemas.microsoft.com/office/drawing/2014/main" id="{22C51E8D-4685-4760-8725-4C2B003BAD5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32" name="Line 341">
          <a:extLst>
            <a:ext uri="{FF2B5EF4-FFF2-40B4-BE49-F238E27FC236}">
              <a16:creationId xmlns:a16="http://schemas.microsoft.com/office/drawing/2014/main" id="{4456A55D-0438-4B0E-B123-F7D94B988519}"/>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33" name="Line 340">
          <a:extLst>
            <a:ext uri="{FF2B5EF4-FFF2-40B4-BE49-F238E27FC236}">
              <a16:creationId xmlns:a16="http://schemas.microsoft.com/office/drawing/2014/main" id="{28C174BE-A9B2-4654-9074-602A593F68E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34" name="Line 341">
          <a:extLst>
            <a:ext uri="{FF2B5EF4-FFF2-40B4-BE49-F238E27FC236}">
              <a16:creationId xmlns:a16="http://schemas.microsoft.com/office/drawing/2014/main" id="{C19DC524-AD7B-47EA-9585-F93CA14A861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35" name="Line 340">
          <a:extLst>
            <a:ext uri="{FF2B5EF4-FFF2-40B4-BE49-F238E27FC236}">
              <a16:creationId xmlns:a16="http://schemas.microsoft.com/office/drawing/2014/main" id="{30A68B2A-AFE3-4397-8B3D-454BEFA2606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36" name="Line 341">
          <a:extLst>
            <a:ext uri="{FF2B5EF4-FFF2-40B4-BE49-F238E27FC236}">
              <a16:creationId xmlns:a16="http://schemas.microsoft.com/office/drawing/2014/main" id="{8368A556-F6A9-428E-A619-8C884A95F15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37" name="Line 333">
          <a:extLst>
            <a:ext uri="{FF2B5EF4-FFF2-40B4-BE49-F238E27FC236}">
              <a16:creationId xmlns:a16="http://schemas.microsoft.com/office/drawing/2014/main" id="{7A47CEA7-3975-4A1F-AB8A-5CBE8717E188}"/>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38" name="Line 334">
          <a:extLst>
            <a:ext uri="{FF2B5EF4-FFF2-40B4-BE49-F238E27FC236}">
              <a16:creationId xmlns:a16="http://schemas.microsoft.com/office/drawing/2014/main" id="{4E063B50-231E-4089-BA0E-999885CB436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39" name="Line 333">
          <a:extLst>
            <a:ext uri="{FF2B5EF4-FFF2-40B4-BE49-F238E27FC236}">
              <a16:creationId xmlns:a16="http://schemas.microsoft.com/office/drawing/2014/main" id="{65131317-74E1-4DAE-9EA0-269701B77A31}"/>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40" name="Line 334">
          <a:extLst>
            <a:ext uri="{FF2B5EF4-FFF2-40B4-BE49-F238E27FC236}">
              <a16:creationId xmlns:a16="http://schemas.microsoft.com/office/drawing/2014/main" id="{0FC4F4EC-4290-4C11-BE45-9874F6E7770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41" name="Line 333">
          <a:extLst>
            <a:ext uri="{FF2B5EF4-FFF2-40B4-BE49-F238E27FC236}">
              <a16:creationId xmlns:a16="http://schemas.microsoft.com/office/drawing/2014/main" id="{9A23C709-04EB-4431-8174-51C3ED86DD76}"/>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42" name="Line 334">
          <a:extLst>
            <a:ext uri="{FF2B5EF4-FFF2-40B4-BE49-F238E27FC236}">
              <a16:creationId xmlns:a16="http://schemas.microsoft.com/office/drawing/2014/main" id="{3BBF1816-B59F-421C-8CF7-54E5B3F686D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343" name="Line 222">
          <a:extLst>
            <a:ext uri="{FF2B5EF4-FFF2-40B4-BE49-F238E27FC236}">
              <a16:creationId xmlns:a16="http://schemas.microsoft.com/office/drawing/2014/main" id="{CDCE8DFE-74A0-45A4-A6C3-985ED5E76B47}"/>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344" name="Line 223">
          <a:extLst>
            <a:ext uri="{FF2B5EF4-FFF2-40B4-BE49-F238E27FC236}">
              <a16:creationId xmlns:a16="http://schemas.microsoft.com/office/drawing/2014/main" id="{FD2BF3DC-6DC7-4B79-B382-2ED2EEB6092E}"/>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345" name="Line 224">
          <a:extLst>
            <a:ext uri="{FF2B5EF4-FFF2-40B4-BE49-F238E27FC236}">
              <a16:creationId xmlns:a16="http://schemas.microsoft.com/office/drawing/2014/main" id="{CF9115EE-DD30-4201-A8EF-48725A6BEFEC}"/>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46" name="Line 226">
          <a:extLst>
            <a:ext uri="{FF2B5EF4-FFF2-40B4-BE49-F238E27FC236}">
              <a16:creationId xmlns:a16="http://schemas.microsoft.com/office/drawing/2014/main" id="{F7C3596D-45F6-48F7-9943-317099804A3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47" name="Line 227">
          <a:extLst>
            <a:ext uri="{FF2B5EF4-FFF2-40B4-BE49-F238E27FC236}">
              <a16:creationId xmlns:a16="http://schemas.microsoft.com/office/drawing/2014/main" id="{BB6E95FB-3DBD-4E68-A47B-87EF82A2378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48" name="Line 229">
          <a:extLst>
            <a:ext uri="{FF2B5EF4-FFF2-40B4-BE49-F238E27FC236}">
              <a16:creationId xmlns:a16="http://schemas.microsoft.com/office/drawing/2014/main" id="{DC6396E8-7D5A-41D5-8482-59EE749D52E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349" name="Line 222">
          <a:extLst>
            <a:ext uri="{FF2B5EF4-FFF2-40B4-BE49-F238E27FC236}">
              <a16:creationId xmlns:a16="http://schemas.microsoft.com/office/drawing/2014/main" id="{E612D8B6-1601-4FC4-AE66-DCD6C7598D50}"/>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350" name="Line 223">
          <a:extLst>
            <a:ext uri="{FF2B5EF4-FFF2-40B4-BE49-F238E27FC236}">
              <a16:creationId xmlns:a16="http://schemas.microsoft.com/office/drawing/2014/main" id="{651FE624-BB16-4800-AE35-D72940E3D34F}"/>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351" name="Line 224">
          <a:extLst>
            <a:ext uri="{FF2B5EF4-FFF2-40B4-BE49-F238E27FC236}">
              <a16:creationId xmlns:a16="http://schemas.microsoft.com/office/drawing/2014/main" id="{5E700C99-717A-4B6B-813F-DC3FE401E52B}"/>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52" name="Line 226">
          <a:extLst>
            <a:ext uri="{FF2B5EF4-FFF2-40B4-BE49-F238E27FC236}">
              <a16:creationId xmlns:a16="http://schemas.microsoft.com/office/drawing/2014/main" id="{D409CEE3-F7F0-4315-8241-EAB23FB89F5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53" name="Line 227">
          <a:extLst>
            <a:ext uri="{FF2B5EF4-FFF2-40B4-BE49-F238E27FC236}">
              <a16:creationId xmlns:a16="http://schemas.microsoft.com/office/drawing/2014/main" id="{DAB9BBF3-D5C7-4F61-8E5C-0E56FA3D1C0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54" name="Line 229">
          <a:extLst>
            <a:ext uri="{FF2B5EF4-FFF2-40B4-BE49-F238E27FC236}">
              <a16:creationId xmlns:a16="http://schemas.microsoft.com/office/drawing/2014/main" id="{BC645AD1-CBD9-4F82-AE96-A6B74D6DB57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55" name="Line 230">
          <a:extLst>
            <a:ext uri="{FF2B5EF4-FFF2-40B4-BE49-F238E27FC236}">
              <a16:creationId xmlns:a16="http://schemas.microsoft.com/office/drawing/2014/main" id="{8BE1725C-886E-4167-B2A1-1A86CBC392C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56" name="Line 232">
          <a:extLst>
            <a:ext uri="{FF2B5EF4-FFF2-40B4-BE49-F238E27FC236}">
              <a16:creationId xmlns:a16="http://schemas.microsoft.com/office/drawing/2014/main" id="{7F254354-8965-4CEA-A920-D59243D24B4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57" name="Line 233">
          <a:extLst>
            <a:ext uri="{FF2B5EF4-FFF2-40B4-BE49-F238E27FC236}">
              <a16:creationId xmlns:a16="http://schemas.microsoft.com/office/drawing/2014/main" id="{6C457DCF-4873-42F5-8AA5-F1F4F1B4576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58" name="Line 235">
          <a:extLst>
            <a:ext uri="{FF2B5EF4-FFF2-40B4-BE49-F238E27FC236}">
              <a16:creationId xmlns:a16="http://schemas.microsoft.com/office/drawing/2014/main" id="{7274759C-AF8C-4328-BF35-99F4A6FD9D1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59" name="Line 236">
          <a:extLst>
            <a:ext uri="{FF2B5EF4-FFF2-40B4-BE49-F238E27FC236}">
              <a16:creationId xmlns:a16="http://schemas.microsoft.com/office/drawing/2014/main" id="{95DDABE1-CBCC-40F2-A30A-DF60FCBEAB6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360" name="Line 238">
          <a:extLst>
            <a:ext uri="{FF2B5EF4-FFF2-40B4-BE49-F238E27FC236}">
              <a16:creationId xmlns:a16="http://schemas.microsoft.com/office/drawing/2014/main" id="{B901D2CB-0DB8-44BA-A27C-8336D01280B8}"/>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361" name="Line 239">
          <a:extLst>
            <a:ext uri="{FF2B5EF4-FFF2-40B4-BE49-F238E27FC236}">
              <a16:creationId xmlns:a16="http://schemas.microsoft.com/office/drawing/2014/main" id="{1A88C51D-2BEE-4673-9AB0-F922C3AF4AE8}"/>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362" name="Line 240">
          <a:extLst>
            <a:ext uri="{FF2B5EF4-FFF2-40B4-BE49-F238E27FC236}">
              <a16:creationId xmlns:a16="http://schemas.microsoft.com/office/drawing/2014/main" id="{81BA675C-4596-42CE-9E26-C49B9E4E6374}"/>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363" name="Line 241">
          <a:extLst>
            <a:ext uri="{FF2B5EF4-FFF2-40B4-BE49-F238E27FC236}">
              <a16:creationId xmlns:a16="http://schemas.microsoft.com/office/drawing/2014/main" id="{99A0DA05-E30A-4D4E-85FE-D7F983AB484F}"/>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364" name="Line 242">
          <a:extLst>
            <a:ext uri="{FF2B5EF4-FFF2-40B4-BE49-F238E27FC236}">
              <a16:creationId xmlns:a16="http://schemas.microsoft.com/office/drawing/2014/main" id="{B3BB412B-FDA9-43C5-BE1C-4D5B63D9D7EF}"/>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65" name="Line 250">
          <a:extLst>
            <a:ext uri="{FF2B5EF4-FFF2-40B4-BE49-F238E27FC236}">
              <a16:creationId xmlns:a16="http://schemas.microsoft.com/office/drawing/2014/main" id="{DBE17C21-3651-41CA-B610-73BD0DFE8C2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66" name="Line 251">
          <a:extLst>
            <a:ext uri="{FF2B5EF4-FFF2-40B4-BE49-F238E27FC236}">
              <a16:creationId xmlns:a16="http://schemas.microsoft.com/office/drawing/2014/main" id="{02847417-EEC0-4190-9CF1-165CC05F0B5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67" name="Line 259">
          <a:extLst>
            <a:ext uri="{FF2B5EF4-FFF2-40B4-BE49-F238E27FC236}">
              <a16:creationId xmlns:a16="http://schemas.microsoft.com/office/drawing/2014/main" id="{ACDF468A-026C-4A72-B615-FC01EC3F4BE6}"/>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68" name="Line 260">
          <a:extLst>
            <a:ext uri="{FF2B5EF4-FFF2-40B4-BE49-F238E27FC236}">
              <a16:creationId xmlns:a16="http://schemas.microsoft.com/office/drawing/2014/main" id="{336EDAED-DC0F-402B-A9C7-BA75FA04CE9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69" name="Line 263">
          <a:extLst>
            <a:ext uri="{FF2B5EF4-FFF2-40B4-BE49-F238E27FC236}">
              <a16:creationId xmlns:a16="http://schemas.microsoft.com/office/drawing/2014/main" id="{AC886753-E7AB-4687-8248-9E36E8E1214E}"/>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70" name="Line 264">
          <a:extLst>
            <a:ext uri="{FF2B5EF4-FFF2-40B4-BE49-F238E27FC236}">
              <a16:creationId xmlns:a16="http://schemas.microsoft.com/office/drawing/2014/main" id="{6C76EED1-185F-46CE-B02D-1E56D7EC05A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371" name="Line 222">
          <a:extLst>
            <a:ext uri="{FF2B5EF4-FFF2-40B4-BE49-F238E27FC236}">
              <a16:creationId xmlns:a16="http://schemas.microsoft.com/office/drawing/2014/main" id="{9F72FD5F-BC79-471B-8223-00F21AB3A437}"/>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372" name="Line 223">
          <a:extLst>
            <a:ext uri="{FF2B5EF4-FFF2-40B4-BE49-F238E27FC236}">
              <a16:creationId xmlns:a16="http://schemas.microsoft.com/office/drawing/2014/main" id="{1A83295E-12A9-4910-A7AF-3A2193BA1ED6}"/>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373" name="Line 224">
          <a:extLst>
            <a:ext uri="{FF2B5EF4-FFF2-40B4-BE49-F238E27FC236}">
              <a16:creationId xmlns:a16="http://schemas.microsoft.com/office/drawing/2014/main" id="{AB753298-0BBD-46DF-9AF9-0EBBE50E76FF}"/>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74" name="Line 226">
          <a:extLst>
            <a:ext uri="{FF2B5EF4-FFF2-40B4-BE49-F238E27FC236}">
              <a16:creationId xmlns:a16="http://schemas.microsoft.com/office/drawing/2014/main" id="{84DB978E-8460-4844-90D5-3E01B9AE2C9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75" name="Line 227">
          <a:extLst>
            <a:ext uri="{FF2B5EF4-FFF2-40B4-BE49-F238E27FC236}">
              <a16:creationId xmlns:a16="http://schemas.microsoft.com/office/drawing/2014/main" id="{7A59B6C0-7FBF-4044-B9E4-918D49C1707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76" name="Line 229">
          <a:extLst>
            <a:ext uri="{FF2B5EF4-FFF2-40B4-BE49-F238E27FC236}">
              <a16:creationId xmlns:a16="http://schemas.microsoft.com/office/drawing/2014/main" id="{763A15A3-88AF-405C-96CA-0C324084220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77" name="Line 230">
          <a:extLst>
            <a:ext uri="{FF2B5EF4-FFF2-40B4-BE49-F238E27FC236}">
              <a16:creationId xmlns:a16="http://schemas.microsoft.com/office/drawing/2014/main" id="{5333794F-9AEE-4AF8-A15B-E285F8D0DE9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78" name="Line 232">
          <a:extLst>
            <a:ext uri="{FF2B5EF4-FFF2-40B4-BE49-F238E27FC236}">
              <a16:creationId xmlns:a16="http://schemas.microsoft.com/office/drawing/2014/main" id="{A2CACFA6-90FB-455C-9243-C800308709D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79" name="Line 233">
          <a:extLst>
            <a:ext uri="{FF2B5EF4-FFF2-40B4-BE49-F238E27FC236}">
              <a16:creationId xmlns:a16="http://schemas.microsoft.com/office/drawing/2014/main" id="{A81AECA0-9A58-4EB6-8D60-5DD571DE3CB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80" name="Line 235">
          <a:extLst>
            <a:ext uri="{FF2B5EF4-FFF2-40B4-BE49-F238E27FC236}">
              <a16:creationId xmlns:a16="http://schemas.microsoft.com/office/drawing/2014/main" id="{9EC685A7-332D-474D-B533-65F7D3715726}"/>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81" name="Line 236">
          <a:extLst>
            <a:ext uri="{FF2B5EF4-FFF2-40B4-BE49-F238E27FC236}">
              <a16:creationId xmlns:a16="http://schemas.microsoft.com/office/drawing/2014/main" id="{5389EBF5-B389-4539-837C-2156F01AF51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382" name="Line 238">
          <a:extLst>
            <a:ext uri="{FF2B5EF4-FFF2-40B4-BE49-F238E27FC236}">
              <a16:creationId xmlns:a16="http://schemas.microsoft.com/office/drawing/2014/main" id="{01CA0D02-15F8-441D-9889-34A760E5B8C8}"/>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383" name="Line 239">
          <a:extLst>
            <a:ext uri="{FF2B5EF4-FFF2-40B4-BE49-F238E27FC236}">
              <a16:creationId xmlns:a16="http://schemas.microsoft.com/office/drawing/2014/main" id="{68E06893-BE18-4E7E-83AA-CADDD941289D}"/>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384" name="Line 240">
          <a:extLst>
            <a:ext uri="{FF2B5EF4-FFF2-40B4-BE49-F238E27FC236}">
              <a16:creationId xmlns:a16="http://schemas.microsoft.com/office/drawing/2014/main" id="{82D71535-E66B-42F6-9692-453F32EC3041}"/>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385" name="Line 241">
          <a:extLst>
            <a:ext uri="{FF2B5EF4-FFF2-40B4-BE49-F238E27FC236}">
              <a16:creationId xmlns:a16="http://schemas.microsoft.com/office/drawing/2014/main" id="{9D1BBB1B-AE37-4493-907D-688AFC92C5BE}"/>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386" name="Line 242">
          <a:extLst>
            <a:ext uri="{FF2B5EF4-FFF2-40B4-BE49-F238E27FC236}">
              <a16:creationId xmlns:a16="http://schemas.microsoft.com/office/drawing/2014/main" id="{5E31C2D2-2A7B-4565-9F96-C59D6D032914}"/>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87" name="Line 250">
          <a:extLst>
            <a:ext uri="{FF2B5EF4-FFF2-40B4-BE49-F238E27FC236}">
              <a16:creationId xmlns:a16="http://schemas.microsoft.com/office/drawing/2014/main" id="{D98C5C38-603F-46E2-A59B-B241ADD9B6E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88" name="Line 251">
          <a:extLst>
            <a:ext uri="{FF2B5EF4-FFF2-40B4-BE49-F238E27FC236}">
              <a16:creationId xmlns:a16="http://schemas.microsoft.com/office/drawing/2014/main" id="{05DC0D35-BE68-42AD-A3C3-381655D37C4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89" name="Line 259">
          <a:extLst>
            <a:ext uri="{FF2B5EF4-FFF2-40B4-BE49-F238E27FC236}">
              <a16:creationId xmlns:a16="http://schemas.microsoft.com/office/drawing/2014/main" id="{C42ECEE8-4814-429B-A21D-D41FBBDA3EF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90" name="Line 260">
          <a:extLst>
            <a:ext uri="{FF2B5EF4-FFF2-40B4-BE49-F238E27FC236}">
              <a16:creationId xmlns:a16="http://schemas.microsoft.com/office/drawing/2014/main" id="{AFA7BE47-D862-4171-BECE-83806AA7C7B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91" name="Line 263">
          <a:extLst>
            <a:ext uri="{FF2B5EF4-FFF2-40B4-BE49-F238E27FC236}">
              <a16:creationId xmlns:a16="http://schemas.microsoft.com/office/drawing/2014/main" id="{5EEBAE1D-81A5-4D22-887D-28AF6CE73CE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92" name="Line 264">
          <a:extLst>
            <a:ext uri="{FF2B5EF4-FFF2-40B4-BE49-F238E27FC236}">
              <a16:creationId xmlns:a16="http://schemas.microsoft.com/office/drawing/2014/main" id="{DB970D1B-9384-4D0D-8EA7-19D8DF8B8B9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93" name="Line 266">
          <a:extLst>
            <a:ext uri="{FF2B5EF4-FFF2-40B4-BE49-F238E27FC236}">
              <a16:creationId xmlns:a16="http://schemas.microsoft.com/office/drawing/2014/main" id="{CC0DA2ED-0856-4D3A-864F-7309E96AD7C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94" name="Line 267">
          <a:extLst>
            <a:ext uri="{FF2B5EF4-FFF2-40B4-BE49-F238E27FC236}">
              <a16:creationId xmlns:a16="http://schemas.microsoft.com/office/drawing/2014/main" id="{23980E1C-2EBE-46F9-9BA5-522070F4C6A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95" name="Line 285">
          <a:extLst>
            <a:ext uri="{FF2B5EF4-FFF2-40B4-BE49-F238E27FC236}">
              <a16:creationId xmlns:a16="http://schemas.microsoft.com/office/drawing/2014/main" id="{16D5251C-5FF2-456B-9D6F-09EC8DFF2D0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96" name="Line 286">
          <a:extLst>
            <a:ext uri="{FF2B5EF4-FFF2-40B4-BE49-F238E27FC236}">
              <a16:creationId xmlns:a16="http://schemas.microsoft.com/office/drawing/2014/main" id="{A37EE4AB-0B17-4BBD-91FB-AF70353E0F79}"/>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397" name="Line 288">
          <a:extLst>
            <a:ext uri="{FF2B5EF4-FFF2-40B4-BE49-F238E27FC236}">
              <a16:creationId xmlns:a16="http://schemas.microsoft.com/office/drawing/2014/main" id="{795414AA-4C1F-404D-BE27-0AE8202B49A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398" name="Line 289">
          <a:extLst>
            <a:ext uri="{FF2B5EF4-FFF2-40B4-BE49-F238E27FC236}">
              <a16:creationId xmlns:a16="http://schemas.microsoft.com/office/drawing/2014/main" id="{B718DDA0-DA52-4858-A589-C8517E7CCB2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399" name="Line 293">
          <a:extLst>
            <a:ext uri="{FF2B5EF4-FFF2-40B4-BE49-F238E27FC236}">
              <a16:creationId xmlns:a16="http://schemas.microsoft.com/office/drawing/2014/main" id="{F198F2E7-B1CD-4FCE-9687-BA7ED2ECAA2E}"/>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00" name="Line 308">
          <a:extLst>
            <a:ext uri="{FF2B5EF4-FFF2-40B4-BE49-F238E27FC236}">
              <a16:creationId xmlns:a16="http://schemas.microsoft.com/office/drawing/2014/main" id="{EB9BE875-40C6-4B5B-BB01-1BB2B6ADE60D}"/>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01" name="Line 309">
          <a:extLst>
            <a:ext uri="{FF2B5EF4-FFF2-40B4-BE49-F238E27FC236}">
              <a16:creationId xmlns:a16="http://schemas.microsoft.com/office/drawing/2014/main" id="{11723576-1372-4016-AB35-92505FE229B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02" name="Line 333">
          <a:extLst>
            <a:ext uri="{FF2B5EF4-FFF2-40B4-BE49-F238E27FC236}">
              <a16:creationId xmlns:a16="http://schemas.microsoft.com/office/drawing/2014/main" id="{38F74E8B-16FD-42C7-958C-F2B550928995}"/>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03" name="Line 334">
          <a:extLst>
            <a:ext uri="{FF2B5EF4-FFF2-40B4-BE49-F238E27FC236}">
              <a16:creationId xmlns:a16="http://schemas.microsoft.com/office/drawing/2014/main" id="{E66C2974-7340-40C9-BCA7-0501B1881A9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04" name="Line 340">
          <a:extLst>
            <a:ext uri="{FF2B5EF4-FFF2-40B4-BE49-F238E27FC236}">
              <a16:creationId xmlns:a16="http://schemas.microsoft.com/office/drawing/2014/main" id="{5603CD40-8A9E-4544-9B8F-A1533D202DB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05" name="Line 341">
          <a:extLst>
            <a:ext uri="{FF2B5EF4-FFF2-40B4-BE49-F238E27FC236}">
              <a16:creationId xmlns:a16="http://schemas.microsoft.com/office/drawing/2014/main" id="{1D3B2DE6-D6CC-4459-959A-A783F073E64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406" name="Line 222">
          <a:extLst>
            <a:ext uri="{FF2B5EF4-FFF2-40B4-BE49-F238E27FC236}">
              <a16:creationId xmlns:a16="http://schemas.microsoft.com/office/drawing/2014/main" id="{17E7984E-FF8B-4ADC-8CAC-B1D0BB832F93}"/>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407" name="Line 223">
          <a:extLst>
            <a:ext uri="{FF2B5EF4-FFF2-40B4-BE49-F238E27FC236}">
              <a16:creationId xmlns:a16="http://schemas.microsoft.com/office/drawing/2014/main" id="{781D0327-FC7A-416F-A7F1-6C9C90600A0D}"/>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408" name="Line 224">
          <a:extLst>
            <a:ext uri="{FF2B5EF4-FFF2-40B4-BE49-F238E27FC236}">
              <a16:creationId xmlns:a16="http://schemas.microsoft.com/office/drawing/2014/main" id="{529D66F2-901C-4DF5-A6CE-2F459C911114}"/>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409" name="Line 222">
          <a:extLst>
            <a:ext uri="{FF2B5EF4-FFF2-40B4-BE49-F238E27FC236}">
              <a16:creationId xmlns:a16="http://schemas.microsoft.com/office/drawing/2014/main" id="{D4BDDF7D-80DD-4D65-A9C7-B437FF5F8648}"/>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410" name="Line 223">
          <a:extLst>
            <a:ext uri="{FF2B5EF4-FFF2-40B4-BE49-F238E27FC236}">
              <a16:creationId xmlns:a16="http://schemas.microsoft.com/office/drawing/2014/main" id="{3EDF994F-92C4-4D44-B854-40A0766DAF1B}"/>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411" name="Line 224">
          <a:extLst>
            <a:ext uri="{FF2B5EF4-FFF2-40B4-BE49-F238E27FC236}">
              <a16:creationId xmlns:a16="http://schemas.microsoft.com/office/drawing/2014/main" id="{6A6ED073-1BF1-413A-B022-E6E611659E42}"/>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12" name="Line 226">
          <a:extLst>
            <a:ext uri="{FF2B5EF4-FFF2-40B4-BE49-F238E27FC236}">
              <a16:creationId xmlns:a16="http://schemas.microsoft.com/office/drawing/2014/main" id="{CF6E517D-1751-4EBC-A1DE-BDBC213D005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13" name="Line 227">
          <a:extLst>
            <a:ext uri="{FF2B5EF4-FFF2-40B4-BE49-F238E27FC236}">
              <a16:creationId xmlns:a16="http://schemas.microsoft.com/office/drawing/2014/main" id="{19A0313B-8C07-4CDD-A243-8002D91D1B5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14" name="Line 229">
          <a:extLst>
            <a:ext uri="{FF2B5EF4-FFF2-40B4-BE49-F238E27FC236}">
              <a16:creationId xmlns:a16="http://schemas.microsoft.com/office/drawing/2014/main" id="{4CE81AF6-927C-4104-A54F-BFFC80BF6EA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15" name="Line 230">
          <a:extLst>
            <a:ext uri="{FF2B5EF4-FFF2-40B4-BE49-F238E27FC236}">
              <a16:creationId xmlns:a16="http://schemas.microsoft.com/office/drawing/2014/main" id="{47DC0B37-F1CE-42ED-AB5E-0992126D513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16" name="Line 232">
          <a:extLst>
            <a:ext uri="{FF2B5EF4-FFF2-40B4-BE49-F238E27FC236}">
              <a16:creationId xmlns:a16="http://schemas.microsoft.com/office/drawing/2014/main" id="{A911D191-8759-437E-ADD7-B87417958DE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17" name="Line 233">
          <a:extLst>
            <a:ext uri="{FF2B5EF4-FFF2-40B4-BE49-F238E27FC236}">
              <a16:creationId xmlns:a16="http://schemas.microsoft.com/office/drawing/2014/main" id="{7E7480F3-BD46-48AE-9032-F10F0639AD3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18" name="Line 235">
          <a:extLst>
            <a:ext uri="{FF2B5EF4-FFF2-40B4-BE49-F238E27FC236}">
              <a16:creationId xmlns:a16="http://schemas.microsoft.com/office/drawing/2014/main" id="{A98945D0-83E4-435E-B500-02FFEECDC13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19" name="Line 236">
          <a:extLst>
            <a:ext uri="{FF2B5EF4-FFF2-40B4-BE49-F238E27FC236}">
              <a16:creationId xmlns:a16="http://schemas.microsoft.com/office/drawing/2014/main" id="{DBAC2543-D622-46C6-A1D9-DA7753DF8D1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420" name="Line 238">
          <a:extLst>
            <a:ext uri="{FF2B5EF4-FFF2-40B4-BE49-F238E27FC236}">
              <a16:creationId xmlns:a16="http://schemas.microsoft.com/office/drawing/2014/main" id="{B6CCB53E-6C87-4257-813C-F1BBF7DF5E7A}"/>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421" name="Line 239">
          <a:extLst>
            <a:ext uri="{FF2B5EF4-FFF2-40B4-BE49-F238E27FC236}">
              <a16:creationId xmlns:a16="http://schemas.microsoft.com/office/drawing/2014/main" id="{4AAF7F23-A68E-4268-9230-7190876B4104}"/>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422" name="Line 240">
          <a:extLst>
            <a:ext uri="{FF2B5EF4-FFF2-40B4-BE49-F238E27FC236}">
              <a16:creationId xmlns:a16="http://schemas.microsoft.com/office/drawing/2014/main" id="{3F99D961-BECF-4463-BF86-6807A459AA1B}"/>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423" name="Line 241">
          <a:extLst>
            <a:ext uri="{FF2B5EF4-FFF2-40B4-BE49-F238E27FC236}">
              <a16:creationId xmlns:a16="http://schemas.microsoft.com/office/drawing/2014/main" id="{7BCECE30-5C91-466A-8F2C-ABC83096504A}"/>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424" name="Line 242">
          <a:extLst>
            <a:ext uri="{FF2B5EF4-FFF2-40B4-BE49-F238E27FC236}">
              <a16:creationId xmlns:a16="http://schemas.microsoft.com/office/drawing/2014/main" id="{F49A1386-5B00-4907-9585-0C4F66ECE096}"/>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25" name="Line 250">
          <a:extLst>
            <a:ext uri="{FF2B5EF4-FFF2-40B4-BE49-F238E27FC236}">
              <a16:creationId xmlns:a16="http://schemas.microsoft.com/office/drawing/2014/main" id="{29106FE3-E6C4-4A06-AB31-32D618D95816}"/>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26" name="Line 251">
          <a:extLst>
            <a:ext uri="{FF2B5EF4-FFF2-40B4-BE49-F238E27FC236}">
              <a16:creationId xmlns:a16="http://schemas.microsoft.com/office/drawing/2014/main" id="{AA5100DC-1A06-457D-9687-5175F77E8AC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27" name="Line 259">
          <a:extLst>
            <a:ext uri="{FF2B5EF4-FFF2-40B4-BE49-F238E27FC236}">
              <a16:creationId xmlns:a16="http://schemas.microsoft.com/office/drawing/2014/main" id="{1D7F6FF0-80AA-4F4F-AB34-D757F651475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28" name="Line 260">
          <a:extLst>
            <a:ext uri="{FF2B5EF4-FFF2-40B4-BE49-F238E27FC236}">
              <a16:creationId xmlns:a16="http://schemas.microsoft.com/office/drawing/2014/main" id="{25ACAAFA-8B7B-40A0-B1B1-D660FDDDCA3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29" name="Line 263">
          <a:extLst>
            <a:ext uri="{FF2B5EF4-FFF2-40B4-BE49-F238E27FC236}">
              <a16:creationId xmlns:a16="http://schemas.microsoft.com/office/drawing/2014/main" id="{447CB1D6-DDE6-48BE-A137-B360AA464A1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30" name="Line 264">
          <a:extLst>
            <a:ext uri="{FF2B5EF4-FFF2-40B4-BE49-F238E27FC236}">
              <a16:creationId xmlns:a16="http://schemas.microsoft.com/office/drawing/2014/main" id="{112F8A22-C819-45B0-9C09-87E9841242F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431" name="Line 222">
          <a:extLst>
            <a:ext uri="{FF2B5EF4-FFF2-40B4-BE49-F238E27FC236}">
              <a16:creationId xmlns:a16="http://schemas.microsoft.com/office/drawing/2014/main" id="{3B523ACA-4137-451F-82DB-8FF044840362}"/>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432" name="Line 223">
          <a:extLst>
            <a:ext uri="{FF2B5EF4-FFF2-40B4-BE49-F238E27FC236}">
              <a16:creationId xmlns:a16="http://schemas.microsoft.com/office/drawing/2014/main" id="{45BB27C0-4E51-4F50-9FDA-3C03BC25AE4E}"/>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433" name="Line 224">
          <a:extLst>
            <a:ext uri="{FF2B5EF4-FFF2-40B4-BE49-F238E27FC236}">
              <a16:creationId xmlns:a16="http://schemas.microsoft.com/office/drawing/2014/main" id="{6C15BF75-EB60-4066-A681-8159DCD5ACDB}"/>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34" name="Line 226">
          <a:extLst>
            <a:ext uri="{FF2B5EF4-FFF2-40B4-BE49-F238E27FC236}">
              <a16:creationId xmlns:a16="http://schemas.microsoft.com/office/drawing/2014/main" id="{08275F1B-AC14-4B76-87C6-11C77CFB0B5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35" name="Line 227">
          <a:extLst>
            <a:ext uri="{FF2B5EF4-FFF2-40B4-BE49-F238E27FC236}">
              <a16:creationId xmlns:a16="http://schemas.microsoft.com/office/drawing/2014/main" id="{0E2C43CA-3346-4CE3-A7C6-1CAAF852FD0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36" name="Line 229">
          <a:extLst>
            <a:ext uri="{FF2B5EF4-FFF2-40B4-BE49-F238E27FC236}">
              <a16:creationId xmlns:a16="http://schemas.microsoft.com/office/drawing/2014/main" id="{9201D697-1EFC-4FD3-A7A1-4DC3E59620C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37" name="Line 230">
          <a:extLst>
            <a:ext uri="{FF2B5EF4-FFF2-40B4-BE49-F238E27FC236}">
              <a16:creationId xmlns:a16="http://schemas.microsoft.com/office/drawing/2014/main" id="{8AF96AA0-4929-4FF2-885D-AF9B4EA3091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38" name="Line 232">
          <a:extLst>
            <a:ext uri="{FF2B5EF4-FFF2-40B4-BE49-F238E27FC236}">
              <a16:creationId xmlns:a16="http://schemas.microsoft.com/office/drawing/2014/main" id="{312EF109-A138-4005-BE20-CF9ED16993F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39" name="Line 233">
          <a:extLst>
            <a:ext uri="{FF2B5EF4-FFF2-40B4-BE49-F238E27FC236}">
              <a16:creationId xmlns:a16="http://schemas.microsoft.com/office/drawing/2014/main" id="{B43AB058-5385-40C4-AE89-3B18F0ED024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40" name="Line 235">
          <a:extLst>
            <a:ext uri="{FF2B5EF4-FFF2-40B4-BE49-F238E27FC236}">
              <a16:creationId xmlns:a16="http://schemas.microsoft.com/office/drawing/2014/main" id="{065428FC-67F5-41AE-960B-F658DAB62B2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41" name="Line 236">
          <a:extLst>
            <a:ext uri="{FF2B5EF4-FFF2-40B4-BE49-F238E27FC236}">
              <a16:creationId xmlns:a16="http://schemas.microsoft.com/office/drawing/2014/main" id="{4311B4DF-B0CC-4581-B964-2ADCDD5CF10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442" name="Line 238">
          <a:extLst>
            <a:ext uri="{FF2B5EF4-FFF2-40B4-BE49-F238E27FC236}">
              <a16:creationId xmlns:a16="http://schemas.microsoft.com/office/drawing/2014/main" id="{81FD8694-6C3A-4FB8-AF53-57F92832E28C}"/>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443" name="Line 239">
          <a:extLst>
            <a:ext uri="{FF2B5EF4-FFF2-40B4-BE49-F238E27FC236}">
              <a16:creationId xmlns:a16="http://schemas.microsoft.com/office/drawing/2014/main" id="{A49BA6E2-36CF-4485-825F-D4AE2E870C2C}"/>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444" name="Line 240">
          <a:extLst>
            <a:ext uri="{FF2B5EF4-FFF2-40B4-BE49-F238E27FC236}">
              <a16:creationId xmlns:a16="http://schemas.microsoft.com/office/drawing/2014/main" id="{0DC5807B-9137-4AEF-9D42-F3D1C8756DA9}"/>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445" name="Line 241">
          <a:extLst>
            <a:ext uri="{FF2B5EF4-FFF2-40B4-BE49-F238E27FC236}">
              <a16:creationId xmlns:a16="http://schemas.microsoft.com/office/drawing/2014/main" id="{62DD2CEF-7E64-4F16-8842-0A6CFBC01620}"/>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446" name="Line 242">
          <a:extLst>
            <a:ext uri="{FF2B5EF4-FFF2-40B4-BE49-F238E27FC236}">
              <a16:creationId xmlns:a16="http://schemas.microsoft.com/office/drawing/2014/main" id="{D71AC8A2-B2D5-4DE6-AB01-6AD74425AC4D}"/>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47" name="Line 250">
          <a:extLst>
            <a:ext uri="{FF2B5EF4-FFF2-40B4-BE49-F238E27FC236}">
              <a16:creationId xmlns:a16="http://schemas.microsoft.com/office/drawing/2014/main" id="{C1E54D2E-A440-4AE0-8A21-51FF8D8B1A2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48" name="Line 251">
          <a:extLst>
            <a:ext uri="{FF2B5EF4-FFF2-40B4-BE49-F238E27FC236}">
              <a16:creationId xmlns:a16="http://schemas.microsoft.com/office/drawing/2014/main" id="{2B60AA86-12D3-4DB4-B11C-22824A84E95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49" name="Line 259">
          <a:extLst>
            <a:ext uri="{FF2B5EF4-FFF2-40B4-BE49-F238E27FC236}">
              <a16:creationId xmlns:a16="http://schemas.microsoft.com/office/drawing/2014/main" id="{A1F8E38A-09EE-48BA-82F2-2AE9A14E4EC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50" name="Line 260">
          <a:extLst>
            <a:ext uri="{FF2B5EF4-FFF2-40B4-BE49-F238E27FC236}">
              <a16:creationId xmlns:a16="http://schemas.microsoft.com/office/drawing/2014/main" id="{F770D926-2C52-470D-BA1B-C6348293D0F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51" name="Line 263">
          <a:extLst>
            <a:ext uri="{FF2B5EF4-FFF2-40B4-BE49-F238E27FC236}">
              <a16:creationId xmlns:a16="http://schemas.microsoft.com/office/drawing/2014/main" id="{54A3494D-32B5-43ED-A37D-3ACE9B1C2CD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52" name="Line 264">
          <a:extLst>
            <a:ext uri="{FF2B5EF4-FFF2-40B4-BE49-F238E27FC236}">
              <a16:creationId xmlns:a16="http://schemas.microsoft.com/office/drawing/2014/main" id="{1FC21255-0D6E-41AE-A36B-36D3A3ACDDD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53" name="Line 266">
          <a:extLst>
            <a:ext uri="{FF2B5EF4-FFF2-40B4-BE49-F238E27FC236}">
              <a16:creationId xmlns:a16="http://schemas.microsoft.com/office/drawing/2014/main" id="{BC345F63-9251-4F37-BA80-084A44D1C96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54" name="Line 267">
          <a:extLst>
            <a:ext uri="{FF2B5EF4-FFF2-40B4-BE49-F238E27FC236}">
              <a16:creationId xmlns:a16="http://schemas.microsoft.com/office/drawing/2014/main" id="{ED7D4441-5E5F-4DF1-9C1D-5E7AC8708C9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55" name="Line 285">
          <a:extLst>
            <a:ext uri="{FF2B5EF4-FFF2-40B4-BE49-F238E27FC236}">
              <a16:creationId xmlns:a16="http://schemas.microsoft.com/office/drawing/2014/main" id="{7BE04586-403E-41FB-B921-72DEFF18569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56" name="Line 286">
          <a:extLst>
            <a:ext uri="{FF2B5EF4-FFF2-40B4-BE49-F238E27FC236}">
              <a16:creationId xmlns:a16="http://schemas.microsoft.com/office/drawing/2014/main" id="{27D8BE5E-DC2A-4F11-835C-A68418CC349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57" name="Line 288">
          <a:extLst>
            <a:ext uri="{FF2B5EF4-FFF2-40B4-BE49-F238E27FC236}">
              <a16:creationId xmlns:a16="http://schemas.microsoft.com/office/drawing/2014/main" id="{5B51AD65-A216-48D3-A2F6-3D4BD57193D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58" name="Line 289">
          <a:extLst>
            <a:ext uri="{FF2B5EF4-FFF2-40B4-BE49-F238E27FC236}">
              <a16:creationId xmlns:a16="http://schemas.microsoft.com/office/drawing/2014/main" id="{4F32549A-C44D-470B-A4B3-F9A0E2B32A3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459" name="Line 293">
          <a:extLst>
            <a:ext uri="{FF2B5EF4-FFF2-40B4-BE49-F238E27FC236}">
              <a16:creationId xmlns:a16="http://schemas.microsoft.com/office/drawing/2014/main" id="{6CD38644-8A4A-4AE7-9668-ECADAB80C742}"/>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60" name="Line 308">
          <a:extLst>
            <a:ext uri="{FF2B5EF4-FFF2-40B4-BE49-F238E27FC236}">
              <a16:creationId xmlns:a16="http://schemas.microsoft.com/office/drawing/2014/main" id="{FFD535B6-B90F-4405-9EBC-4A330DB8C4E1}"/>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61" name="Line 309">
          <a:extLst>
            <a:ext uri="{FF2B5EF4-FFF2-40B4-BE49-F238E27FC236}">
              <a16:creationId xmlns:a16="http://schemas.microsoft.com/office/drawing/2014/main" id="{B743AA92-C3F8-4A90-859E-0203050C2CF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62" name="Line 333">
          <a:extLst>
            <a:ext uri="{FF2B5EF4-FFF2-40B4-BE49-F238E27FC236}">
              <a16:creationId xmlns:a16="http://schemas.microsoft.com/office/drawing/2014/main" id="{613CC48B-24D5-4552-BB2B-FBE583A94BD9}"/>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63" name="Line 334">
          <a:extLst>
            <a:ext uri="{FF2B5EF4-FFF2-40B4-BE49-F238E27FC236}">
              <a16:creationId xmlns:a16="http://schemas.microsoft.com/office/drawing/2014/main" id="{21C7A187-F59E-411E-BCFB-207D8CAB93B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64" name="Line 340">
          <a:extLst>
            <a:ext uri="{FF2B5EF4-FFF2-40B4-BE49-F238E27FC236}">
              <a16:creationId xmlns:a16="http://schemas.microsoft.com/office/drawing/2014/main" id="{18026648-728C-4D3B-A08F-8441393DE21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65" name="Line 341">
          <a:extLst>
            <a:ext uri="{FF2B5EF4-FFF2-40B4-BE49-F238E27FC236}">
              <a16:creationId xmlns:a16="http://schemas.microsoft.com/office/drawing/2014/main" id="{8F71E12A-8FFA-4A67-9313-5D01D3F1068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466" name="Line 222">
          <a:extLst>
            <a:ext uri="{FF2B5EF4-FFF2-40B4-BE49-F238E27FC236}">
              <a16:creationId xmlns:a16="http://schemas.microsoft.com/office/drawing/2014/main" id="{70D83F9F-79DE-4865-94EF-3CD4C013D210}"/>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467" name="Line 223">
          <a:extLst>
            <a:ext uri="{FF2B5EF4-FFF2-40B4-BE49-F238E27FC236}">
              <a16:creationId xmlns:a16="http://schemas.microsoft.com/office/drawing/2014/main" id="{20CAE0E1-9E36-4173-9411-D310AC98288F}"/>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468" name="Line 224">
          <a:extLst>
            <a:ext uri="{FF2B5EF4-FFF2-40B4-BE49-F238E27FC236}">
              <a16:creationId xmlns:a16="http://schemas.microsoft.com/office/drawing/2014/main" id="{5B6A4F4D-CB01-4701-A1A9-5C9714A5513C}"/>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69" name="Line 226">
          <a:extLst>
            <a:ext uri="{FF2B5EF4-FFF2-40B4-BE49-F238E27FC236}">
              <a16:creationId xmlns:a16="http://schemas.microsoft.com/office/drawing/2014/main" id="{341FA5C6-9A0C-4455-91F8-3FEFB4C1730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70" name="Line 227">
          <a:extLst>
            <a:ext uri="{FF2B5EF4-FFF2-40B4-BE49-F238E27FC236}">
              <a16:creationId xmlns:a16="http://schemas.microsoft.com/office/drawing/2014/main" id="{645AB5C7-6796-42DF-B046-C33AB1535C2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71" name="Line 229">
          <a:extLst>
            <a:ext uri="{FF2B5EF4-FFF2-40B4-BE49-F238E27FC236}">
              <a16:creationId xmlns:a16="http://schemas.microsoft.com/office/drawing/2014/main" id="{B92A1A71-8B7B-404C-B27E-7A7A75C93676}"/>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72" name="Line 230">
          <a:extLst>
            <a:ext uri="{FF2B5EF4-FFF2-40B4-BE49-F238E27FC236}">
              <a16:creationId xmlns:a16="http://schemas.microsoft.com/office/drawing/2014/main" id="{AD8FAA38-7DA1-4B4D-9C30-2863FC975FA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73" name="Line 232">
          <a:extLst>
            <a:ext uri="{FF2B5EF4-FFF2-40B4-BE49-F238E27FC236}">
              <a16:creationId xmlns:a16="http://schemas.microsoft.com/office/drawing/2014/main" id="{44E5E71D-FCD0-4547-A7ED-4CD4B742F89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74" name="Line 233">
          <a:extLst>
            <a:ext uri="{FF2B5EF4-FFF2-40B4-BE49-F238E27FC236}">
              <a16:creationId xmlns:a16="http://schemas.microsoft.com/office/drawing/2014/main" id="{FD5FD796-44CC-421C-BE9D-93141AFE2A3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75" name="Line 235">
          <a:extLst>
            <a:ext uri="{FF2B5EF4-FFF2-40B4-BE49-F238E27FC236}">
              <a16:creationId xmlns:a16="http://schemas.microsoft.com/office/drawing/2014/main" id="{F7216945-0F6B-4BBC-B88A-C3ACC8EC73E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76" name="Line 236">
          <a:extLst>
            <a:ext uri="{FF2B5EF4-FFF2-40B4-BE49-F238E27FC236}">
              <a16:creationId xmlns:a16="http://schemas.microsoft.com/office/drawing/2014/main" id="{6B3A5661-DF14-46D7-B734-F3F66E51A7B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477" name="Line 238">
          <a:extLst>
            <a:ext uri="{FF2B5EF4-FFF2-40B4-BE49-F238E27FC236}">
              <a16:creationId xmlns:a16="http://schemas.microsoft.com/office/drawing/2014/main" id="{002FC4C9-431E-4326-A1DC-4F3EDC7A52EA}"/>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478" name="Line 239">
          <a:extLst>
            <a:ext uri="{FF2B5EF4-FFF2-40B4-BE49-F238E27FC236}">
              <a16:creationId xmlns:a16="http://schemas.microsoft.com/office/drawing/2014/main" id="{E1088CB9-660F-4AAE-A060-335D81423786}"/>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479" name="Line 240">
          <a:extLst>
            <a:ext uri="{FF2B5EF4-FFF2-40B4-BE49-F238E27FC236}">
              <a16:creationId xmlns:a16="http://schemas.microsoft.com/office/drawing/2014/main" id="{ADE77A06-C478-48BF-BB17-81959B74ACCC}"/>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480" name="Line 241">
          <a:extLst>
            <a:ext uri="{FF2B5EF4-FFF2-40B4-BE49-F238E27FC236}">
              <a16:creationId xmlns:a16="http://schemas.microsoft.com/office/drawing/2014/main" id="{0A982F0D-59C3-4044-BA96-D6C17C1C6E1E}"/>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481" name="Line 242">
          <a:extLst>
            <a:ext uri="{FF2B5EF4-FFF2-40B4-BE49-F238E27FC236}">
              <a16:creationId xmlns:a16="http://schemas.microsoft.com/office/drawing/2014/main" id="{03E05C1E-17C0-4225-A61E-E0214354FE87}"/>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82" name="Line 250">
          <a:extLst>
            <a:ext uri="{FF2B5EF4-FFF2-40B4-BE49-F238E27FC236}">
              <a16:creationId xmlns:a16="http://schemas.microsoft.com/office/drawing/2014/main" id="{A28E903A-801A-4327-B765-F53FF0DF9D9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83" name="Line 251">
          <a:extLst>
            <a:ext uri="{FF2B5EF4-FFF2-40B4-BE49-F238E27FC236}">
              <a16:creationId xmlns:a16="http://schemas.microsoft.com/office/drawing/2014/main" id="{51102578-22B4-4EC6-93E8-1CC21A21327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84" name="Line 259">
          <a:extLst>
            <a:ext uri="{FF2B5EF4-FFF2-40B4-BE49-F238E27FC236}">
              <a16:creationId xmlns:a16="http://schemas.microsoft.com/office/drawing/2014/main" id="{C2069FDB-8A27-472C-9F2A-6961C629C25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85" name="Line 260">
          <a:extLst>
            <a:ext uri="{FF2B5EF4-FFF2-40B4-BE49-F238E27FC236}">
              <a16:creationId xmlns:a16="http://schemas.microsoft.com/office/drawing/2014/main" id="{838A7FCE-0148-48E1-9E6D-2370B2B03DE9}"/>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86" name="Line 263">
          <a:extLst>
            <a:ext uri="{FF2B5EF4-FFF2-40B4-BE49-F238E27FC236}">
              <a16:creationId xmlns:a16="http://schemas.microsoft.com/office/drawing/2014/main" id="{0F05A21A-B7E0-4E54-9744-BC76B7A79FB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87" name="Line 264">
          <a:extLst>
            <a:ext uri="{FF2B5EF4-FFF2-40B4-BE49-F238E27FC236}">
              <a16:creationId xmlns:a16="http://schemas.microsoft.com/office/drawing/2014/main" id="{27242911-9763-4468-A784-7A67C7B1599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488" name="Line 222">
          <a:extLst>
            <a:ext uri="{FF2B5EF4-FFF2-40B4-BE49-F238E27FC236}">
              <a16:creationId xmlns:a16="http://schemas.microsoft.com/office/drawing/2014/main" id="{42E45135-423A-46F5-A038-CDD02A86A04D}"/>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489" name="Line 223">
          <a:extLst>
            <a:ext uri="{FF2B5EF4-FFF2-40B4-BE49-F238E27FC236}">
              <a16:creationId xmlns:a16="http://schemas.microsoft.com/office/drawing/2014/main" id="{F5989DF6-DCA4-4A02-91A2-D9FC055C13AF}"/>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490" name="Line 224">
          <a:extLst>
            <a:ext uri="{FF2B5EF4-FFF2-40B4-BE49-F238E27FC236}">
              <a16:creationId xmlns:a16="http://schemas.microsoft.com/office/drawing/2014/main" id="{F74AE571-4667-4A84-85CB-1F963BC8000C}"/>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91" name="Line 226">
          <a:extLst>
            <a:ext uri="{FF2B5EF4-FFF2-40B4-BE49-F238E27FC236}">
              <a16:creationId xmlns:a16="http://schemas.microsoft.com/office/drawing/2014/main" id="{4BF1DED6-3548-4320-A2C3-728386CE398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92" name="Line 227">
          <a:extLst>
            <a:ext uri="{FF2B5EF4-FFF2-40B4-BE49-F238E27FC236}">
              <a16:creationId xmlns:a16="http://schemas.microsoft.com/office/drawing/2014/main" id="{535F8BF3-4B2D-4F2D-86FA-AE8D5B8179F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93" name="Line 229">
          <a:extLst>
            <a:ext uri="{FF2B5EF4-FFF2-40B4-BE49-F238E27FC236}">
              <a16:creationId xmlns:a16="http://schemas.microsoft.com/office/drawing/2014/main" id="{4DFEAE9A-9981-4AC0-971C-832451C8307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94" name="Line 230">
          <a:extLst>
            <a:ext uri="{FF2B5EF4-FFF2-40B4-BE49-F238E27FC236}">
              <a16:creationId xmlns:a16="http://schemas.microsoft.com/office/drawing/2014/main" id="{069FCC9E-7943-4E38-AEE2-C410F87A088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95" name="Line 232">
          <a:extLst>
            <a:ext uri="{FF2B5EF4-FFF2-40B4-BE49-F238E27FC236}">
              <a16:creationId xmlns:a16="http://schemas.microsoft.com/office/drawing/2014/main" id="{9CEDAFB6-3E9B-43BF-9319-D7FC05B77A5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96" name="Line 233">
          <a:extLst>
            <a:ext uri="{FF2B5EF4-FFF2-40B4-BE49-F238E27FC236}">
              <a16:creationId xmlns:a16="http://schemas.microsoft.com/office/drawing/2014/main" id="{1E9533F1-7223-462F-A822-54841D75CF5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497" name="Line 235">
          <a:extLst>
            <a:ext uri="{FF2B5EF4-FFF2-40B4-BE49-F238E27FC236}">
              <a16:creationId xmlns:a16="http://schemas.microsoft.com/office/drawing/2014/main" id="{461ABEFF-A717-4E78-8CAA-C9D3A5C6BDF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498" name="Line 236">
          <a:extLst>
            <a:ext uri="{FF2B5EF4-FFF2-40B4-BE49-F238E27FC236}">
              <a16:creationId xmlns:a16="http://schemas.microsoft.com/office/drawing/2014/main" id="{9EFC0D07-772D-49DF-965E-245123BCFB0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499" name="Line 238">
          <a:extLst>
            <a:ext uri="{FF2B5EF4-FFF2-40B4-BE49-F238E27FC236}">
              <a16:creationId xmlns:a16="http://schemas.microsoft.com/office/drawing/2014/main" id="{0C1C9D7A-E51B-45BB-AD50-CE032E78B3C9}"/>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500" name="Line 239">
          <a:extLst>
            <a:ext uri="{FF2B5EF4-FFF2-40B4-BE49-F238E27FC236}">
              <a16:creationId xmlns:a16="http://schemas.microsoft.com/office/drawing/2014/main" id="{9240E5D7-6A40-45B8-90EB-B08651C701F7}"/>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501" name="Line 240">
          <a:extLst>
            <a:ext uri="{FF2B5EF4-FFF2-40B4-BE49-F238E27FC236}">
              <a16:creationId xmlns:a16="http://schemas.microsoft.com/office/drawing/2014/main" id="{4B095A5D-464E-4A31-B463-0D642FA3E80B}"/>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502" name="Line 241">
          <a:extLst>
            <a:ext uri="{FF2B5EF4-FFF2-40B4-BE49-F238E27FC236}">
              <a16:creationId xmlns:a16="http://schemas.microsoft.com/office/drawing/2014/main" id="{1E00C507-76FE-4C66-890B-5B2C9E7B7534}"/>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503" name="Line 242">
          <a:extLst>
            <a:ext uri="{FF2B5EF4-FFF2-40B4-BE49-F238E27FC236}">
              <a16:creationId xmlns:a16="http://schemas.microsoft.com/office/drawing/2014/main" id="{79285B13-9E10-4353-85E7-5C51595272DA}"/>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04" name="Line 250">
          <a:extLst>
            <a:ext uri="{FF2B5EF4-FFF2-40B4-BE49-F238E27FC236}">
              <a16:creationId xmlns:a16="http://schemas.microsoft.com/office/drawing/2014/main" id="{11C909F0-91FC-4561-B553-ADB66D492DD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05" name="Line 251">
          <a:extLst>
            <a:ext uri="{FF2B5EF4-FFF2-40B4-BE49-F238E27FC236}">
              <a16:creationId xmlns:a16="http://schemas.microsoft.com/office/drawing/2014/main" id="{7DAC20B1-18AE-42DB-959D-22C83F260DC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06" name="Line 259">
          <a:extLst>
            <a:ext uri="{FF2B5EF4-FFF2-40B4-BE49-F238E27FC236}">
              <a16:creationId xmlns:a16="http://schemas.microsoft.com/office/drawing/2014/main" id="{E48DE1E5-0210-45F2-8D55-C7B6652DD60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07" name="Line 260">
          <a:extLst>
            <a:ext uri="{FF2B5EF4-FFF2-40B4-BE49-F238E27FC236}">
              <a16:creationId xmlns:a16="http://schemas.microsoft.com/office/drawing/2014/main" id="{269CB988-BEB6-48A1-88FA-C862C82B80D9}"/>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08" name="Line 263">
          <a:extLst>
            <a:ext uri="{FF2B5EF4-FFF2-40B4-BE49-F238E27FC236}">
              <a16:creationId xmlns:a16="http://schemas.microsoft.com/office/drawing/2014/main" id="{41B9CE30-B531-4137-9464-44CB9A00F6F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09" name="Line 264">
          <a:extLst>
            <a:ext uri="{FF2B5EF4-FFF2-40B4-BE49-F238E27FC236}">
              <a16:creationId xmlns:a16="http://schemas.microsoft.com/office/drawing/2014/main" id="{8741BF9A-29AE-4C35-84E4-68841725B6C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10" name="Line 266">
          <a:extLst>
            <a:ext uri="{FF2B5EF4-FFF2-40B4-BE49-F238E27FC236}">
              <a16:creationId xmlns:a16="http://schemas.microsoft.com/office/drawing/2014/main" id="{88411CFE-A576-4B58-B0F7-B700AF25DF1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11" name="Line 267">
          <a:extLst>
            <a:ext uri="{FF2B5EF4-FFF2-40B4-BE49-F238E27FC236}">
              <a16:creationId xmlns:a16="http://schemas.microsoft.com/office/drawing/2014/main" id="{1F6B4587-CB19-4579-960C-514A58BAF2E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12" name="Line 285">
          <a:extLst>
            <a:ext uri="{FF2B5EF4-FFF2-40B4-BE49-F238E27FC236}">
              <a16:creationId xmlns:a16="http://schemas.microsoft.com/office/drawing/2014/main" id="{3F698B07-4C90-4787-858C-5B3522FA2A1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13" name="Line 286">
          <a:extLst>
            <a:ext uri="{FF2B5EF4-FFF2-40B4-BE49-F238E27FC236}">
              <a16:creationId xmlns:a16="http://schemas.microsoft.com/office/drawing/2014/main" id="{24310537-46DF-4FB8-A41E-A96CDB7DFC3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14" name="Line 288">
          <a:extLst>
            <a:ext uri="{FF2B5EF4-FFF2-40B4-BE49-F238E27FC236}">
              <a16:creationId xmlns:a16="http://schemas.microsoft.com/office/drawing/2014/main" id="{0B0FEF58-0644-43D0-BC45-93FD49BFD80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15" name="Line 289">
          <a:extLst>
            <a:ext uri="{FF2B5EF4-FFF2-40B4-BE49-F238E27FC236}">
              <a16:creationId xmlns:a16="http://schemas.microsoft.com/office/drawing/2014/main" id="{A7602403-AAD4-49DF-9D9D-E8F542A2858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16" name="Line 308">
          <a:extLst>
            <a:ext uri="{FF2B5EF4-FFF2-40B4-BE49-F238E27FC236}">
              <a16:creationId xmlns:a16="http://schemas.microsoft.com/office/drawing/2014/main" id="{FEFCA576-DBC8-4C6E-B2C2-900F4053CF3D}"/>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17" name="Line 309">
          <a:extLst>
            <a:ext uri="{FF2B5EF4-FFF2-40B4-BE49-F238E27FC236}">
              <a16:creationId xmlns:a16="http://schemas.microsoft.com/office/drawing/2014/main" id="{52FDB7EA-D82E-4C7A-8F10-8EC208A2B7C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18" name="Line 333">
          <a:extLst>
            <a:ext uri="{FF2B5EF4-FFF2-40B4-BE49-F238E27FC236}">
              <a16:creationId xmlns:a16="http://schemas.microsoft.com/office/drawing/2014/main" id="{3BEE634F-5E05-42D8-B056-22D958CA67B1}"/>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19" name="Line 334">
          <a:extLst>
            <a:ext uri="{FF2B5EF4-FFF2-40B4-BE49-F238E27FC236}">
              <a16:creationId xmlns:a16="http://schemas.microsoft.com/office/drawing/2014/main" id="{7875C798-406A-49EB-BB4B-FFDAFD36B8B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20" name="Line 340">
          <a:extLst>
            <a:ext uri="{FF2B5EF4-FFF2-40B4-BE49-F238E27FC236}">
              <a16:creationId xmlns:a16="http://schemas.microsoft.com/office/drawing/2014/main" id="{CEED71E7-1256-482E-A213-20733F7803D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21" name="Line 341">
          <a:extLst>
            <a:ext uri="{FF2B5EF4-FFF2-40B4-BE49-F238E27FC236}">
              <a16:creationId xmlns:a16="http://schemas.microsoft.com/office/drawing/2014/main" id="{20AE5E8D-FE61-4464-AC26-0E37E0DD1D9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323850</xdr:colOff>
      <xdr:row>0</xdr:row>
      <xdr:rowOff>209550</xdr:rowOff>
    </xdr:from>
    <xdr:to>
      <xdr:col>2</xdr:col>
      <xdr:colOff>447675</xdr:colOff>
      <xdr:row>0</xdr:row>
      <xdr:rowOff>209550</xdr:rowOff>
    </xdr:to>
    <xdr:sp macro="" textlink="">
      <xdr:nvSpPr>
        <xdr:cNvPr id="522" name="Line 248">
          <a:extLst>
            <a:ext uri="{FF2B5EF4-FFF2-40B4-BE49-F238E27FC236}">
              <a16:creationId xmlns:a16="http://schemas.microsoft.com/office/drawing/2014/main" id="{1F354E59-371B-4711-B3CE-9FBED65C14E8}"/>
            </a:ext>
          </a:extLst>
        </xdr:cNvPr>
        <xdr:cNvSpPr>
          <a:spLocks noChangeShapeType="1"/>
        </xdr:cNvSpPr>
      </xdr:nvSpPr>
      <xdr:spPr bwMode="auto">
        <a:xfrm>
          <a:off x="6610350" y="209550"/>
          <a:ext cx="1238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323850</xdr:colOff>
      <xdr:row>0</xdr:row>
      <xdr:rowOff>209550</xdr:rowOff>
    </xdr:from>
    <xdr:to>
      <xdr:col>2</xdr:col>
      <xdr:colOff>438150</xdr:colOff>
      <xdr:row>0</xdr:row>
      <xdr:rowOff>209550</xdr:rowOff>
    </xdr:to>
    <xdr:sp macro="" textlink="">
      <xdr:nvSpPr>
        <xdr:cNvPr id="523" name="Line 248">
          <a:extLst>
            <a:ext uri="{FF2B5EF4-FFF2-40B4-BE49-F238E27FC236}">
              <a16:creationId xmlns:a16="http://schemas.microsoft.com/office/drawing/2014/main" id="{B1BDFCD8-57CC-471B-A114-1897C0454106}"/>
            </a:ext>
          </a:extLst>
        </xdr:cNvPr>
        <xdr:cNvSpPr>
          <a:spLocks noChangeShapeType="1"/>
        </xdr:cNvSpPr>
      </xdr:nvSpPr>
      <xdr:spPr bwMode="auto">
        <a:xfrm flipH="1">
          <a:off x="6610350" y="209550"/>
          <a:ext cx="1143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24" name="Line 340">
          <a:extLst>
            <a:ext uri="{FF2B5EF4-FFF2-40B4-BE49-F238E27FC236}">
              <a16:creationId xmlns:a16="http://schemas.microsoft.com/office/drawing/2014/main" id="{9D842910-5DFF-408F-885C-5819FC74D75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25" name="Line 341">
          <a:extLst>
            <a:ext uri="{FF2B5EF4-FFF2-40B4-BE49-F238E27FC236}">
              <a16:creationId xmlns:a16="http://schemas.microsoft.com/office/drawing/2014/main" id="{9D363EB0-5A44-4C9A-97BD-52FB17BF0B2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26" name="Line 340">
          <a:extLst>
            <a:ext uri="{FF2B5EF4-FFF2-40B4-BE49-F238E27FC236}">
              <a16:creationId xmlns:a16="http://schemas.microsoft.com/office/drawing/2014/main" id="{65591A13-13CA-4092-8C3B-D6215294347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27" name="Line 341">
          <a:extLst>
            <a:ext uri="{FF2B5EF4-FFF2-40B4-BE49-F238E27FC236}">
              <a16:creationId xmlns:a16="http://schemas.microsoft.com/office/drawing/2014/main" id="{DF0C956E-F3D0-4D37-91EE-808E4F19D98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28" name="Line 340">
          <a:extLst>
            <a:ext uri="{FF2B5EF4-FFF2-40B4-BE49-F238E27FC236}">
              <a16:creationId xmlns:a16="http://schemas.microsoft.com/office/drawing/2014/main" id="{D8740E44-6E1B-43F5-9FFC-D804EC2703C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29" name="Line 341">
          <a:extLst>
            <a:ext uri="{FF2B5EF4-FFF2-40B4-BE49-F238E27FC236}">
              <a16:creationId xmlns:a16="http://schemas.microsoft.com/office/drawing/2014/main" id="{F92AE977-37B4-48D3-A1D4-C57975DEFE9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30" name="Line 333">
          <a:extLst>
            <a:ext uri="{FF2B5EF4-FFF2-40B4-BE49-F238E27FC236}">
              <a16:creationId xmlns:a16="http://schemas.microsoft.com/office/drawing/2014/main" id="{BB9BDF59-26CE-499C-9701-82659EF25144}"/>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31" name="Line 334">
          <a:extLst>
            <a:ext uri="{FF2B5EF4-FFF2-40B4-BE49-F238E27FC236}">
              <a16:creationId xmlns:a16="http://schemas.microsoft.com/office/drawing/2014/main" id="{B3134352-2E74-4E4C-8E07-9B925BBA0E1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32" name="Line 333">
          <a:extLst>
            <a:ext uri="{FF2B5EF4-FFF2-40B4-BE49-F238E27FC236}">
              <a16:creationId xmlns:a16="http://schemas.microsoft.com/office/drawing/2014/main" id="{D1485815-DF4F-4AAB-AB6C-557CC749DDAF}"/>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33" name="Line 334">
          <a:extLst>
            <a:ext uri="{FF2B5EF4-FFF2-40B4-BE49-F238E27FC236}">
              <a16:creationId xmlns:a16="http://schemas.microsoft.com/office/drawing/2014/main" id="{EF5EE9EF-0734-4650-AEFC-9A225E5B033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34" name="Line 333">
          <a:extLst>
            <a:ext uri="{FF2B5EF4-FFF2-40B4-BE49-F238E27FC236}">
              <a16:creationId xmlns:a16="http://schemas.microsoft.com/office/drawing/2014/main" id="{7423E5DD-FF3D-49FC-9BE2-FD2AC069AFF7}"/>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535" name="Line 222">
          <a:extLst>
            <a:ext uri="{FF2B5EF4-FFF2-40B4-BE49-F238E27FC236}">
              <a16:creationId xmlns:a16="http://schemas.microsoft.com/office/drawing/2014/main" id="{473EFE09-DC9D-4C8A-91E2-8B3F42B184D2}"/>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536" name="Line 223">
          <a:extLst>
            <a:ext uri="{FF2B5EF4-FFF2-40B4-BE49-F238E27FC236}">
              <a16:creationId xmlns:a16="http://schemas.microsoft.com/office/drawing/2014/main" id="{E57B2147-EACE-47AD-89F6-BB7B5CB53D58}"/>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537" name="Line 224">
          <a:extLst>
            <a:ext uri="{FF2B5EF4-FFF2-40B4-BE49-F238E27FC236}">
              <a16:creationId xmlns:a16="http://schemas.microsoft.com/office/drawing/2014/main" id="{98A38125-E851-45D7-AB47-54E0023151B2}"/>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38" name="Line 226">
          <a:extLst>
            <a:ext uri="{FF2B5EF4-FFF2-40B4-BE49-F238E27FC236}">
              <a16:creationId xmlns:a16="http://schemas.microsoft.com/office/drawing/2014/main" id="{FC47FA67-17D6-4970-A32E-CDC7ACEDFE4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39" name="Line 227">
          <a:extLst>
            <a:ext uri="{FF2B5EF4-FFF2-40B4-BE49-F238E27FC236}">
              <a16:creationId xmlns:a16="http://schemas.microsoft.com/office/drawing/2014/main" id="{09F8A10B-60A4-4552-A268-2D71F98A746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40" name="Line 229">
          <a:extLst>
            <a:ext uri="{FF2B5EF4-FFF2-40B4-BE49-F238E27FC236}">
              <a16:creationId xmlns:a16="http://schemas.microsoft.com/office/drawing/2014/main" id="{4E113DE6-B109-4B79-92EA-589B26905C9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541" name="Line 222">
          <a:extLst>
            <a:ext uri="{FF2B5EF4-FFF2-40B4-BE49-F238E27FC236}">
              <a16:creationId xmlns:a16="http://schemas.microsoft.com/office/drawing/2014/main" id="{E9387F43-A4F9-4BFB-8ED7-EFEE7853C10E}"/>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542" name="Line 223">
          <a:extLst>
            <a:ext uri="{FF2B5EF4-FFF2-40B4-BE49-F238E27FC236}">
              <a16:creationId xmlns:a16="http://schemas.microsoft.com/office/drawing/2014/main" id="{29C4FA91-DF1C-4E5E-BD77-8C1B181CCEBA}"/>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543" name="Line 224">
          <a:extLst>
            <a:ext uri="{FF2B5EF4-FFF2-40B4-BE49-F238E27FC236}">
              <a16:creationId xmlns:a16="http://schemas.microsoft.com/office/drawing/2014/main" id="{B7F25C0E-E0E8-4DFC-84D4-95BBB448178C}"/>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44" name="Line 226">
          <a:extLst>
            <a:ext uri="{FF2B5EF4-FFF2-40B4-BE49-F238E27FC236}">
              <a16:creationId xmlns:a16="http://schemas.microsoft.com/office/drawing/2014/main" id="{3BD529FF-3A6D-4A11-8260-E1F8443F34C6}"/>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45" name="Line 227">
          <a:extLst>
            <a:ext uri="{FF2B5EF4-FFF2-40B4-BE49-F238E27FC236}">
              <a16:creationId xmlns:a16="http://schemas.microsoft.com/office/drawing/2014/main" id="{298B4529-CB77-4B17-BA4C-43EB311D2CA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46" name="Line 229">
          <a:extLst>
            <a:ext uri="{FF2B5EF4-FFF2-40B4-BE49-F238E27FC236}">
              <a16:creationId xmlns:a16="http://schemas.microsoft.com/office/drawing/2014/main" id="{9B711957-29DC-45B1-9041-95838432658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47" name="Line 230">
          <a:extLst>
            <a:ext uri="{FF2B5EF4-FFF2-40B4-BE49-F238E27FC236}">
              <a16:creationId xmlns:a16="http://schemas.microsoft.com/office/drawing/2014/main" id="{BB6AF39C-2653-4C27-92C5-D1F3D4BE45A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48" name="Line 232">
          <a:extLst>
            <a:ext uri="{FF2B5EF4-FFF2-40B4-BE49-F238E27FC236}">
              <a16:creationId xmlns:a16="http://schemas.microsoft.com/office/drawing/2014/main" id="{70BBA912-1C01-4A90-A14D-376779A8851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49" name="Line 233">
          <a:extLst>
            <a:ext uri="{FF2B5EF4-FFF2-40B4-BE49-F238E27FC236}">
              <a16:creationId xmlns:a16="http://schemas.microsoft.com/office/drawing/2014/main" id="{BE2BC8D0-8D95-4815-A95D-FD39D5259E1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50" name="Line 235">
          <a:extLst>
            <a:ext uri="{FF2B5EF4-FFF2-40B4-BE49-F238E27FC236}">
              <a16:creationId xmlns:a16="http://schemas.microsoft.com/office/drawing/2014/main" id="{FD3F1DDC-6286-45F1-A849-8A3497620AE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51" name="Line 236">
          <a:extLst>
            <a:ext uri="{FF2B5EF4-FFF2-40B4-BE49-F238E27FC236}">
              <a16:creationId xmlns:a16="http://schemas.microsoft.com/office/drawing/2014/main" id="{52DBB944-F133-4F6B-AD16-07E8E83BD27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552" name="Line 238">
          <a:extLst>
            <a:ext uri="{FF2B5EF4-FFF2-40B4-BE49-F238E27FC236}">
              <a16:creationId xmlns:a16="http://schemas.microsoft.com/office/drawing/2014/main" id="{78BCD96E-F98C-45EB-9CF7-2BBEE43594DC}"/>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553" name="Line 239">
          <a:extLst>
            <a:ext uri="{FF2B5EF4-FFF2-40B4-BE49-F238E27FC236}">
              <a16:creationId xmlns:a16="http://schemas.microsoft.com/office/drawing/2014/main" id="{9169EC34-C569-4BE6-B883-EFE673EAD947}"/>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554" name="Line 240">
          <a:extLst>
            <a:ext uri="{FF2B5EF4-FFF2-40B4-BE49-F238E27FC236}">
              <a16:creationId xmlns:a16="http://schemas.microsoft.com/office/drawing/2014/main" id="{5ACFC64C-1862-4448-BA03-9A8E7FD9E291}"/>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555" name="Line 241">
          <a:extLst>
            <a:ext uri="{FF2B5EF4-FFF2-40B4-BE49-F238E27FC236}">
              <a16:creationId xmlns:a16="http://schemas.microsoft.com/office/drawing/2014/main" id="{C546635D-04E5-4E07-A074-271D9ECF4937}"/>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556" name="Line 242">
          <a:extLst>
            <a:ext uri="{FF2B5EF4-FFF2-40B4-BE49-F238E27FC236}">
              <a16:creationId xmlns:a16="http://schemas.microsoft.com/office/drawing/2014/main" id="{C99B07AE-12C5-439E-B134-9F9530F1AD6D}"/>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57" name="Line 250">
          <a:extLst>
            <a:ext uri="{FF2B5EF4-FFF2-40B4-BE49-F238E27FC236}">
              <a16:creationId xmlns:a16="http://schemas.microsoft.com/office/drawing/2014/main" id="{5F14BF18-96A7-425E-87F8-D5108F14177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58" name="Line 251">
          <a:extLst>
            <a:ext uri="{FF2B5EF4-FFF2-40B4-BE49-F238E27FC236}">
              <a16:creationId xmlns:a16="http://schemas.microsoft.com/office/drawing/2014/main" id="{A499617C-F9A3-4CB4-9140-74421F898BC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59" name="Line 259">
          <a:extLst>
            <a:ext uri="{FF2B5EF4-FFF2-40B4-BE49-F238E27FC236}">
              <a16:creationId xmlns:a16="http://schemas.microsoft.com/office/drawing/2014/main" id="{A109412B-6030-4C56-AC07-5865739DB57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60" name="Line 260">
          <a:extLst>
            <a:ext uri="{FF2B5EF4-FFF2-40B4-BE49-F238E27FC236}">
              <a16:creationId xmlns:a16="http://schemas.microsoft.com/office/drawing/2014/main" id="{56A3381B-99A8-4C5E-ADD7-D2D6B7DA4D2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61" name="Line 263">
          <a:extLst>
            <a:ext uri="{FF2B5EF4-FFF2-40B4-BE49-F238E27FC236}">
              <a16:creationId xmlns:a16="http://schemas.microsoft.com/office/drawing/2014/main" id="{4528645B-031C-4932-BFA9-747A5EF3F88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62" name="Line 264">
          <a:extLst>
            <a:ext uri="{FF2B5EF4-FFF2-40B4-BE49-F238E27FC236}">
              <a16:creationId xmlns:a16="http://schemas.microsoft.com/office/drawing/2014/main" id="{B1E92D81-7DE4-4445-9F0D-3842367AF3A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563" name="Line 222">
          <a:extLst>
            <a:ext uri="{FF2B5EF4-FFF2-40B4-BE49-F238E27FC236}">
              <a16:creationId xmlns:a16="http://schemas.microsoft.com/office/drawing/2014/main" id="{91418AA3-58C5-4046-B190-1C061E05B624}"/>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564" name="Line 223">
          <a:extLst>
            <a:ext uri="{FF2B5EF4-FFF2-40B4-BE49-F238E27FC236}">
              <a16:creationId xmlns:a16="http://schemas.microsoft.com/office/drawing/2014/main" id="{23F238B7-502D-4BB4-8B88-D9CDF535CE19}"/>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565" name="Line 224">
          <a:extLst>
            <a:ext uri="{FF2B5EF4-FFF2-40B4-BE49-F238E27FC236}">
              <a16:creationId xmlns:a16="http://schemas.microsoft.com/office/drawing/2014/main" id="{26527FFA-88C3-4128-93C9-3F71B8F4E042}"/>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66" name="Line 226">
          <a:extLst>
            <a:ext uri="{FF2B5EF4-FFF2-40B4-BE49-F238E27FC236}">
              <a16:creationId xmlns:a16="http://schemas.microsoft.com/office/drawing/2014/main" id="{242C0CC8-6ECF-455A-B29E-7D67BFF5597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67" name="Line 227">
          <a:extLst>
            <a:ext uri="{FF2B5EF4-FFF2-40B4-BE49-F238E27FC236}">
              <a16:creationId xmlns:a16="http://schemas.microsoft.com/office/drawing/2014/main" id="{51015A96-0D0D-48C0-A85D-3F44313BF0E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68" name="Line 229">
          <a:extLst>
            <a:ext uri="{FF2B5EF4-FFF2-40B4-BE49-F238E27FC236}">
              <a16:creationId xmlns:a16="http://schemas.microsoft.com/office/drawing/2014/main" id="{AF62FBBF-5F28-4663-ACD6-2118EE06A7D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69" name="Line 230">
          <a:extLst>
            <a:ext uri="{FF2B5EF4-FFF2-40B4-BE49-F238E27FC236}">
              <a16:creationId xmlns:a16="http://schemas.microsoft.com/office/drawing/2014/main" id="{322F0450-2166-4EA1-B597-4CEB863C48B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70" name="Line 232">
          <a:extLst>
            <a:ext uri="{FF2B5EF4-FFF2-40B4-BE49-F238E27FC236}">
              <a16:creationId xmlns:a16="http://schemas.microsoft.com/office/drawing/2014/main" id="{394E9592-6139-4B9A-BEC3-06FBCEA5638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71" name="Line 233">
          <a:extLst>
            <a:ext uri="{FF2B5EF4-FFF2-40B4-BE49-F238E27FC236}">
              <a16:creationId xmlns:a16="http://schemas.microsoft.com/office/drawing/2014/main" id="{E7C3CEC5-5315-4DBF-89CD-133D0396ADB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72" name="Line 235">
          <a:extLst>
            <a:ext uri="{FF2B5EF4-FFF2-40B4-BE49-F238E27FC236}">
              <a16:creationId xmlns:a16="http://schemas.microsoft.com/office/drawing/2014/main" id="{5BB45646-2152-4852-969B-FD8B43E7D27E}"/>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73" name="Line 236">
          <a:extLst>
            <a:ext uri="{FF2B5EF4-FFF2-40B4-BE49-F238E27FC236}">
              <a16:creationId xmlns:a16="http://schemas.microsoft.com/office/drawing/2014/main" id="{D5DA4DAA-7206-4479-9D86-4C4A748BDBE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574" name="Line 238">
          <a:extLst>
            <a:ext uri="{FF2B5EF4-FFF2-40B4-BE49-F238E27FC236}">
              <a16:creationId xmlns:a16="http://schemas.microsoft.com/office/drawing/2014/main" id="{6773D11D-5B74-471F-9D9C-15538DF210FD}"/>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575" name="Line 239">
          <a:extLst>
            <a:ext uri="{FF2B5EF4-FFF2-40B4-BE49-F238E27FC236}">
              <a16:creationId xmlns:a16="http://schemas.microsoft.com/office/drawing/2014/main" id="{9B0F616E-4A78-4DBB-B7D6-A29E2F9055A1}"/>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576" name="Line 240">
          <a:extLst>
            <a:ext uri="{FF2B5EF4-FFF2-40B4-BE49-F238E27FC236}">
              <a16:creationId xmlns:a16="http://schemas.microsoft.com/office/drawing/2014/main" id="{0CF97347-4105-457A-AC7A-74B6A0FE9D4B}"/>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577" name="Line 241">
          <a:extLst>
            <a:ext uri="{FF2B5EF4-FFF2-40B4-BE49-F238E27FC236}">
              <a16:creationId xmlns:a16="http://schemas.microsoft.com/office/drawing/2014/main" id="{328D7E35-EF4C-40AB-8E1F-96C205AA6CC5}"/>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578" name="Line 242">
          <a:extLst>
            <a:ext uri="{FF2B5EF4-FFF2-40B4-BE49-F238E27FC236}">
              <a16:creationId xmlns:a16="http://schemas.microsoft.com/office/drawing/2014/main" id="{EE044040-C530-487C-9E55-1DCD71392439}"/>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79" name="Line 250">
          <a:extLst>
            <a:ext uri="{FF2B5EF4-FFF2-40B4-BE49-F238E27FC236}">
              <a16:creationId xmlns:a16="http://schemas.microsoft.com/office/drawing/2014/main" id="{5240D196-B2C6-4423-82D3-70CAB845C61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80" name="Line 251">
          <a:extLst>
            <a:ext uri="{FF2B5EF4-FFF2-40B4-BE49-F238E27FC236}">
              <a16:creationId xmlns:a16="http://schemas.microsoft.com/office/drawing/2014/main" id="{7C17088E-681B-4691-A0A9-F80A5DDBB9E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81" name="Line 259">
          <a:extLst>
            <a:ext uri="{FF2B5EF4-FFF2-40B4-BE49-F238E27FC236}">
              <a16:creationId xmlns:a16="http://schemas.microsoft.com/office/drawing/2014/main" id="{8A4092DC-F559-43A1-A124-E6718F9A200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82" name="Line 260">
          <a:extLst>
            <a:ext uri="{FF2B5EF4-FFF2-40B4-BE49-F238E27FC236}">
              <a16:creationId xmlns:a16="http://schemas.microsoft.com/office/drawing/2014/main" id="{14DB350E-89A6-475E-B293-AE20CBB115A9}"/>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83" name="Line 263">
          <a:extLst>
            <a:ext uri="{FF2B5EF4-FFF2-40B4-BE49-F238E27FC236}">
              <a16:creationId xmlns:a16="http://schemas.microsoft.com/office/drawing/2014/main" id="{F36CCD96-C682-4FE2-979B-68FCBCDF5AD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84" name="Line 264">
          <a:extLst>
            <a:ext uri="{FF2B5EF4-FFF2-40B4-BE49-F238E27FC236}">
              <a16:creationId xmlns:a16="http://schemas.microsoft.com/office/drawing/2014/main" id="{D408B1AD-8BFF-4B2A-8934-D1D26ACB0DE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85" name="Line 266">
          <a:extLst>
            <a:ext uri="{FF2B5EF4-FFF2-40B4-BE49-F238E27FC236}">
              <a16:creationId xmlns:a16="http://schemas.microsoft.com/office/drawing/2014/main" id="{0DE0319E-E911-4C0F-AB86-6526CD4F1DC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86" name="Line 267">
          <a:extLst>
            <a:ext uri="{FF2B5EF4-FFF2-40B4-BE49-F238E27FC236}">
              <a16:creationId xmlns:a16="http://schemas.microsoft.com/office/drawing/2014/main" id="{99C90C4B-889A-446A-B093-524A3875677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87" name="Line 285">
          <a:extLst>
            <a:ext uri="{FF2B5EF4-FFF2-40B4-BE49-F238E27FC236}">
              <a16:creationId xmlns:a16="http://schemas.microsoft.com/office/drawing/2014/main" id="{42C90F41-882A-4483-B160-4433F8432E6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88" name="Line 286">
          <a:extLst>
            <a:ext uri="{FF2B5EF4-FFF2-40B4-BE49-F238E27FC236}">
              <a16:creationId xmlns:a16="http://schemas.microsoft.com/office/drawing/2014/main" id="{87AF7184-D73C-4490-AF8F-240E17AB75B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89" name="Line 288">
          <a:extLst>
            <a:ext uri="{FF2B5EF4-FFF2-40B4-BE49-F238E27FC236}">
              <a16:creationId xmlns:a16="http://schemas.microsoft.com/office/drawing/2014/main" id="{C24A39A1-FAD1-4C63-9A52-5FE59554CFB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90" name="Line 289">
          <a:extLst>
            <a:ext uri="{FF2B5EF4-FFF2-40B4-BE49-F238E27FC236}">
              <a16:creationId xmlns:a16="http://schemas.microsoft.com/office/drawing/2014/main" id="{12ABC837-059E-4F0D-B096-AE1CD982A6A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591" name="Line 293">
          <a:extLst>
            <a:ext uri="{FF2B5EF4-FFF2-40B4-BE49-F238E27FC236}">
              <a16:creationId xmlns:a16="http://schemas.microsoft.com/office/drawing/2014/main" id="{BCEF8D2A-2B0E-4939-A007-A35A49A64C70}"/>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92" name="Line 308">
          <a:extLst>
            <a:ext uri="{FF2B5EF4-FFF2-40B4-BE49-F238E27FC236}">
              <a16:creationId xmlns:a16="http://schemas.microsoft.com/office/drawing/2014/main" id="{98111CAD-2E3C-4C6B-AF28-CDAD7690602E}"/>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93" name="Line 309">
          <a:extLst>
            <a:ext uri="{FF2B5EF4-FFF2-40B4-BE49-F238E27FC236}">
              <a16:creationId xmlns:a16="http://schemas.microsoft.com/office/drawing/2014/main" id="{41D64BCB-82C2-413C-82D7-91C336AF914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94" name="Line 333">
          <a:extLst>
            <a:ext uri="{FF2B5EF4-FFF2-40B4-BE49-F238E27FC236}">
              <a16:creationId xmlns:a16="http://schemas.microsoft.com/office/drawing/2014/main" id="{F84DE052-7F13-4A76-B9CC-B2924BF1AE27}"/>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95" name="Line 334">
          <a:extLst>
            <a:ext uri="{FF2B5EF4-FFF2-40B4-BE49-F238E27FC236}">
              <a16:creationId xmlns:a16="http://schemas.microsoft.com/office/drawing/2014/main" id="{E8ABFA25-A91A-40EE-A718-F48CB6BC957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596" name="Line 340">
          <a:extLst>
            <a:ext uri="{FF2B5EF4-FFF2-40B4-BE49-F238E27FC236}">
              <a16:creationId xmlns:a16="http://schemas.microsoft.com/office/drawing/2014/main" id="{799344AC-B797-46A9-8B3E-FAB25684694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597" name="Line 341">
          <a:extLst>
            <a:ext uri="{FF2B5EF4-FFF2-40B4-BE49-F238E27FC236}">
              <a16:creationId xmlns:a16="http://schemas.microsoft.com/office/drawing/2014/main" id="{1534758B-BA2C-4462-A4A3-50A5D358899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598" name="Line 222">
          <a:extLst>
            <a:ext uri="{FF2B5EF4-FFF2-40B4-BE49-F238E27FC236}">
              <a16:creationId xmlns:a16="http://schemas.microsoft.com/office/drawing/2014/main" id="{AFAEE7A4-A74C-498B-B9C9-6490DEA246EC}"/>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599" name="Line 223">
          <a:extLst>
            <a:ext uri="{FF2B5EF4-FFF2-40B4-BE49-F238E27FC236}">
              <a16:creationId xmlns:a16="http://schemas.microsoft.com/office/drawing/2014/main" id="{CD3B30A3-EF56-47B2-8CBA-12934CFD5425}"/>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600" name="Line 224">
          <a:extLst>
            <a:ext uri="{FF2B5EF4-FFF2-40B4-BE49-F238E27FC236}">
              <a16:creationId xmlns:a16="http://schemas.microsoft.com/office/drawing/2014/main" id="{FD9237B7-8298-4561-BF44-21315A111D96}"/>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601" name="Line 222">
          <a:extLst>
            <a:ext uri="{FF2B5EF4-FFF2-40B4-BE49-F238E27FC236}">
              <a16:creationId xmlns:a16="http://schemas.microsoft.com/office/drawing/2014/main" id="{4B581C02-0FFD-427C-8DCA-101DD2CE519F}"/>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602" name="Line 223">
          <a:extLst>
            <a:ext uri="{FF2B5EF4-FFF2-40B4-BE49-F238E27FC236}">
              <a16:creationId xmlns:a16="http://schemas.microsoft.com/office/drawing/2014/main" id="{0FFC4C93-A6BF-4DE3-82F7-D941BB14ED2E}"/>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603" name="Line 224">
          <a:extLst>
            <a:ext uri="{FF2B5EF4-FFF2-40B4-BE49-F238E27FC236}">
              <a16:creationId xmlns:a16="http://schemas.microsoft.com/office/drawing/2014/main" id="{37B170DE-667B-4B37-9C47-DFF885E4C22A}"/>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04" name="Line 226">
          <a:extLst>
            <a:ext uri="{FF2B5EF4-FFF2-40B4-BE49-F238E27FC236}">
              <a16:creationId xmlns:a16="http://schemas.microsoft.com/office/drawing/2014/main" id="{AAC824C0-01D4-4CAA-BC84-3D05EF1BF20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05" name="Line 227">
          <a:extLst>
            <a:ext uri="{FF2B5EF4-FFF2-40B4-BE49-F238E27FC236}">
              <a16:creationId xmlns:a16="http://schemas.microsoft.com/office/drawing/2014/main" id="{862C8513-FD0F-4E61-972A-9F1D9DFC263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06" name="Line 229">
          <a:extLst>
            <a:ext uri="{FF2B5EF4-FFF2-40B4-BE49-F238E27FC236}">
              <a16:creationId xmlns:a16="http://schemas.microsoft.com/office/drawing/2014/main" id="{543D0BFD-A004-491E-B57E-E2368318B1F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07" name="Line 230">
          <a:extLst>
            <a:ext uri="{FF2B5EF4-FFF2-40B4-BE49-F238E27FC236}">
              <a16:creationId xmlns:a16="http://schemas.microsoft.com/office/drawing/2014/main" id="{D4A22215-CD35-4653-AA9B-77C082F9685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08" name="Line 232">
          <a:extLst>
            <a:ext uri="{FF2B5EF4-FFF2-40B4-BE49-F238E27FC236}">
              <a16:creationId xmlns:a16="http://schemas.microsoft.com/office/drawing/2014/main" id="{A60BB7E6-A383-4998-87D5-B65D60C303B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09" name="Line 233">
          <a:extLst>
            <a:ext uri="{FF2B5EF4-FFF2-40B4-BE49-F238E27FC236}">
              <a16:creationId xmlns:a16="http://schemas.microsoft.com/office/drawing/2014/main" id="{35C93C63-441E-4E13-8820-B588EE68FE2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10" name="Line 235">
          <a:extLst>
            <a:ext uri="{FF2B5EF4-FFF2-40B4-BE49-F238E27FC236}">
              <a16:creationId xmlns:a16="http://schemas.microsoft.com/office/drawing/2014/main" id="{A27EC09F-05B8-45B4-9E2D-F0665B46F1B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11" name="Line 236">
          <a:extLst>
            <a:ext uri="{FF2B5EF4-FFF2-40B4-BE49-F238E27FC236}">
              <a16:creationId xmlns:a16="http://schemas.microsoft.com/office/drawing/2014/main" id="{84C6B837-8797-48B0-8A62-CFEEE273D98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612" name="Line 238">
          <a:extLst>
            <a:ext uri="{FF2B5EF4-FFF2-40B4-BE49-F238E27FC236}">
              <a16:creationId xmlns:a16="http://schemas.microsoft.com/office/drawing/2014/main" id="{315FA10A-BB87-469F-A410-BE8407084644}"/>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613" name="Line 239">
          <a:extLst>
            <a:ext uri="{FF2B5EF4-FFF2-40B4-BE49-F238E27FC236}">
              <a16:creationId xmlns:a16="http://schemas.microsoft.com/office/drawing/2014/main" id="{648C4377-26B2-43A5-8304-24455525F3C6}"/>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614" name="Line 240">
          <a:extLst>
            <a:ext uri="{FF2B5EF4-FFF2-40B4-BE49-F238E27FC236}">
              <a16:creationId xmlns:a16="http://schemas.microsoft.com/office/drawing/2014/main" id="{88225636-C561-46CC-AFC6-82C019A3CF79}"/>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615" name="Line 241">
          <a:extLst>
            <a:ext uri="{FF2B5EF4-FFF2-40B4-BE49-F238E27FC236}">
              <a16:creationId xmlns:a16="http://schemas.microsoft.com/office/drawing/2014/main" id="{FC317D6E-AE68-4A14-A879-C75EACFBA0F7}"/>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616" name="Line 242">
          <a:extLst>
            <a:ext uri="{FF2B5EF4-FFF2-40B4-BE49-F238E27FC236}">
              <a16:creationId xmlns:a16="http://schemas.microsoft.com/office/drawing/2014/main" id="{F001B9A4-F0E7-4124-8EB6-81FA31852CE7}"/>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17" name="Line 250">
          <a:extLst>
            <a:ext uri="{FF2B5EF4-FFF2-40B4-BE49-F238E27FC236}">
              <a16:creationId xmlns:a16="http://schemas.microsoft.com/office/drawing/2014/main" id="{FB157E93-4D25-4083-B975-BF77069F766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18" name="Line 251">
          <a:extLst>
            <a:ext uri="{FF2B5EF4-FFF2-40B4-BE49-F238E27FC236}">
              <a16:creationId xmlns:a16="http://schemas.microsoft.com/office/drawing/2014/main" id="{E74D76B0-D880-457E-BE1D-B05600977F1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19" name="Line 259">
          <a:extLst>
            <a:ext uri="{FF2B5EF4-FFF2-40B4-BE49-F238E27FC236}">
              <a16:creationId xmlns:a16="http://schemas.microsoft.com/office/drawing/2014/main" id="{7F3A6EC6-03A8-4FD2-8523-087E443055A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20" name="Line 260">
          <a:extLst>
            <a:ext uri="{FF2B5EF4-FFF2-40B4-BE49-F238E27FC236}">
              <a16:creationId xmlns:a16="http://schemas.microsoft.com/office/drawing/2014/main" id="{5990DADB-0046-4EAC-8971-E08475BD546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21" name="Line 263">
          <a:extLst>
            <a:ext uri="{FF2B5EF4-FFF2-40B4-BE49-F238E27FC236}">
              <a16:creationId xmlns:a16="http://schemas.microsoft.com/office/drawing/2014/main" id="{89180784-7FCC-40B8-90BC-BABAEB6A0F5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22" name="Line 264">
          <a:extLst>
            <a:ext uri="{FF2B5EF4-FFF2-40B4-BE49-F238E27FC236}">
              <a16:creationId xmlns:a16="http://schemas.microsoft.com/office/drawing/2014/main" id="{ABE62AC4-631A-4396-B195-7808DC78A88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623" name="Line 222">
          <a:extLst>
            <a:ext uri="{FF2B5EF4-FFF2-40B4-BE49-F238E27FC236}">
              <a16:creationId xmlns:a16="http://schemas.microsoft.com/office/drawing/2014/main" id="{3FB7BFF5-CE52-4C2F-A953-872B2D97AC6F}"/>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624" name="Line 223">
          <a:extLst>
            <a:ext uri="{FF2B5EF4-FFF2-40B4-BE49-F238E27FC236}">
              <a16:creationId xmlns:a16="http://schemas.microsoft.com/office/drawing/2014/main" id="{D2BB7942-CF24-4E7A-ABB6-F47021773B57}"/>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625" name="Line 224">
          <a:extLst>
            <a:ext uri="{FF2B5EF4-FFF2-40B4-BE49-F238E27FC236}">
              <a16:creationId xmlns:a16="http://schemas.microsoft.com/office/drawing/2014/main" id="{AEB862E0-5BD1-4EC8-8533-05274E568BEB}"/>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26" name="Line 226">
          <a:extLst>
            <a:ext uri="{FF2B5EF4-FFF2-40B4-BE49-F238E27FC236}">
              <a16:creationId xmlns:a16="http://schemas.microsoft.com/office/drawing/2014/main" id="{95E24832-14CD-4BC4-B3FC-0C224DDA640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27" name="Line 227">
          <a:extLst>
            <a:ext uri="{FF2B5EF4-FFF2-40B4-BE49-F238E27FC236}">
              <a16:creationId xmlns:a16="http://schemas.microsoft.com/office/drawing/2014/main" id="{996D188B-3358-48A3-B8DA-B9EFCFE7F97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28" name="Line 229">
          <a:extLst>
            <a:ext uri="{FF2B5EF4-FFF2-40B4-BE49-F238E27FC236}">
              <a16:creationId xmlns:a16="http://schemas.microsoft.com/office/drawing/2014/main" id="{9FCC6B59-453D-4D03-BD51-5ED36B3DFF1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29" name="Line 230">
          <a:extLst>
            <a:ext uri="{FF2B5EF4-FFF2-40B4-BE49-F238E27FC236}">
              <a16:creationId xmlns:a16="http://schemas.microsoft.com/office/drawing/2014/main" id="{2475AB6D-490E-4F5C-9B71-5EC8DF097B0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30" name="Line 232">
          <a:extLst>
            <a:ext uri="{FF2B5EF4-FFF2-40B4-BE49-F238E27FC236}">
              <a16:creationId xmlns:a16="http://schemas.microsoft.com/office/drawing/2014/main" id="{114B609C-D6B9-4D8D-9280-467816B259C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31" name="Line 233">
          <a:extLst>
            <a:ext uri="{FF2B5EF4-FFF2-40B4-BE49-F238E27FC236}">
              <a16:creationId xmlns:a16="http://schemas.microsoft.com/office/drawing/2014/main" id="{AC1ED450-21CB-4820-A1BE-4BAF9107DC99}"/>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32" name="Line 235">
          <a:extLst>
            <a:ext uri="{FF2B5EF4-FFF2-40B4-BE49-F238E27FC236}">
              <a16:creationId xmlns:a16="http://schemas.microsoft.com/office/drawing/2014/main" id="{2A5CE527-997C-427A-AAFA-33296F925946}"/>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33" name="Line 236">
          <a:extLst>
            <a:ext uri="{FF2B5EF4-FFF2-40B4-BE49-F238E27FC236}">
              <a16:creationId xmlns:a16="http://schemas.microsoft.com/office/drawing/2014/main" id="{C2910B26-836C-4ED0-A5A8-C1952CDE7DF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634" name="Line 238">
          <a:extLst>
            <a:ext uri="{FF2B5EF4-FFF2-40B4-BE49-F238E27FC236}">
              <a16:creationId xmlns:a16="http://schemas.microsoft.com/office/drawing/2014/main" id="{6D1D0658-D15F-4B1A-8F4E-508FBAA65081}"/>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635" name="Line 239">
          <a:extLst>
            <a:ext uri="{FF2B5EF4-FFF2-40B4-BE49-F238E27FC236}">
              <a16:creationId xmlns:a16="http://schemas.microsoft.com/office/drawing/2014/main" id="{F0EF36C3-8540-483A-B4A4-282526C1AD0D}"/>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636" name="Line 240">
          <a:extLst>
            <a:ext uri="{FF2B5EF4-FFF2-40B4-BE49-F238E27FC236}">
              <a16:creationId xmlns:a16="http://schemas.microsoft.com/office/drawing/2014/main" id="{3B9229F5-1A74-4DAD-9C28-43D46159FBC5}"/>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637" name="Line 241">
          <a:extLst>
            <a:ext uri="{FF2B5EF4-FFF2-40B4-BE49-F238E27FC236}">
              <a16:creationId xmlns:a16="http://schemas.microsoft.com/office/drawing/2014/main" id="{FC0391B9-5D2C-4325-8C64-DFDA423067C1}"/>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638" name="Line 242">
          <a:extLst>
            <a:ext uri="{FF2B5EF4-FFF2-40B4-BE49-F238E27FC236}">
              <a16:creationId xmlns:a16="http://schemas.microsoft.com/office/drawing/2014/main" id="{498C0BC8-9FD1-4993-9109-F5E1C54C88A5}"/>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39" name="Line 250">
          <a:extLst>
            <a:ext uri="{FF2B5EF4-FFF2-40B4-BE49-F238E27FC236}">
              <a16:creationId xmlns:a16="http://schemas.microsoft.com/office/drawing/2014/main" id="{7C30EAA0-ADAF-478F-8ABA-18E7FAA5A54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40" name="Line 251">
          <a:extLst>
            <a:ext uri="{FF2B5EF4-FFF2-40B4-BE49-F238E27FC236}">
              <a16:creationId xmlns:a16="http://schemas.microsoft.com/office/drawing/2014/main" id="{093179AD-302A-4408-AD85-1E697D8E0B3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41" name="Line 259">
          <a:extLst>
            <a:ext uri="{FF2B5EF4-FFF2-40B4-BE49-F238E27FC236}">
              <a16:creationId xmlns:a16="http://schemas.microsoft.com/office/drawing/2014/main" id="{42B89C09-C782-4B3C-8F77-41C75EED879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42" name="Line 260">
          <a:extLst>
            <a:ext uri="{FF2B5EF4-FFF2-40B4-BE49-F238E27FC236}">
              <a16:creationId xmlns:a16="http://schemas.microsoft.com/office/drawing/2014/main" id="{48D0D346-64E7-4D98-9B99-FAAF1463468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43" name="Line 263">
          <a:extLst>
            <a:ext uri="{FF2B5EF4-FFF2-40B4-BE49-F238E27FC236}">
              <a16:creationId xmlns:a16="http://schemas.microsoft.com/office/drawing/2014/main" id="{05EAD765-62DF-4848-B26F-70ABC345D6E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44" name="Line 264">
          <a:extLst>
            <a:ext uri="{FF2B5EF4-FFF2-40B4-BE49-F238E27FC236}">
              <a16:creationId xmlns:a16="http://schemas.microsoft.com/office/drawing/2014/main" id="{73F38CB5-64A7-412C-A715-54CA6B8F421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45" name="Line 266">
          <a:extLst>
            <a:ext uri="{FF2B5EF4-FFF2-40B4-BE49-F238E27FC236}">
              <a16:creationId xmlns:a16="http://schemas.microsoft.com/office/drawing/2014/main" id="{EE238640-17CF-4344-AA8B-72CA6950CEA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46" name="Line 267">
          <a:extLst>
            <a:ext uri="{FF2B5EF4-FFF2-40B4-BE49-F238E27FC236}">
              <a16:creationId xmlns:a16="http://schemas.microsoft.com/office/drawing/2014/main" id="{EFCA8139-AF18-4FDC-B543-380BC801B91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47" name="Line 285">
          <a:extLst>
            <a:ext uri="{FF2B5EF4-FFF2-40B4-BE49-F238E27FC236}">
              <a16:creationId xmlns:a16="http://schemas.microsoft.com/office/drawing/2014/main" id="{C334DFDE-3B00-41ED-A4B7-116070FCBF2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48" name="Line 286">
          <a:extLst>
            <a:ext uri="{FF2B5EF4-FFF2-40B4-BE49-F238E27FC236}">
              <a16:creationId xmlns:a16="http://schemas.microsoft.com/office/drawing/2014/main" id="{E643C105-677E-4CEE-B6D5-B35153D15189}"/>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49" name="Line 288">
          <a:extLst>
            <a:ext uri="{FF2B5EF4-FFF2-40B4-BE49-F238E27FC236}">
              <a16:creationId xmlns:a16="http://schemas.microsoft.com/office/drawing/2014/main" id="{032333FC-FD25-4147-B532-7DFC9E4A601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50" name="Line 289">
          <a:extLst>
            <a:ext uri="{FF2B5EF4-FFF2-40B4-BE49-F238E27FC236}">
              <a16:creationId xmlns:a16="http://schemas.microsoft.com/office/drawing/2014/main" id="{A74B5A19-5038-4931-ACEC-0C5BA4016C4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651" name="Line 293">
          <a:extLst>
            <a:ext uri="{FF2B5EF4-FFF2-40B4-BE49-F238E27FC236}">
              <a16:creationId xmlns:a16="http://schemas.microsoft.com/office/drawing/2014/main" id="{3D5B64D3-700E-4E35-BDCB-A408DF5D5BFA}"/>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52" name="Line 308">
          <a:extLst>
            <a:ext uri="{FF2B5EF4-FFF2-40B4-BE49-F238E27FC236}">
              <a16:creationId xmlns:a16="http://schemas.microsoft.com/office/drawing/2014/main" id="{A83084D5-7744-446D-8712-47F9E6F19307}"/>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53" name="Line 309">
          <a:extLst>
            <a:ext uri="{FF2B5EF4-FFF2-40B4-BE49-F238E27FC236}">
              <a16:creationId xmlns:a16="http://schemas.microsoft.com/office/drawing/2014/main" id="{D66131E2-31D0-4D48-A53B-A4CB8D90B62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54" name="Line 333">
          <a:extLst>
            <a:ext uri="{FF2B5EF4-FFF2-40B4-BE49-F238E27FC236}">
              <a16:creationId xmlns:a16="http://schemas.microsoft.com/office/drawing/2014/main" id="{BD514275-9208-4130-9C30-3888687DA9AA}"/>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55" name="Line 334">
          <a:extLst>
            <a:ext uri="{FF2B5EF4-FFF2-40B4-BE49-F238E27FC236}">
              <a16:creationId xmlns:a16="http://schemas.microsoft.com/office/drawing/2014/main" id="{5BAFDB06-798D-4A30-B19A-354602D4E8D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56" name="Line 340">
          <a:extLst>
            <a:ext uri="{FF2B5EF4-FFF2-40B4-BE49-F238E27FC236}">
              <a16:creationId xmlns:a16="http://schemas.microsoft.com/office/drawing/2014/main" id="{37A7CE23-3F05-4FFF-B7F8-2967C46A517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57" name="Line 341">
          <a:extLst>
            <a:ext uri="{FF2B5EF4-FFF2-40B4-BE49-F238E27FC236}">
              <a16:creationId xmlns:a16="http://schemas.microsoft.com/office/drawing/2014/main" id="{2D237B95-971F-4C9C-A108-F8F9F5288719}"/>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658" name="Line 222">
          <a:extLst>
            <a:ext uri="{FF2B5EF4-FFF2-40B4-BE49-F238E27FC236}">
              <a16:creationId xmlns:a16="http://schemas.microsoft.com/office/drawing/2014/main" id="{3259CD81-438E-4178-893C-2D7FB5227A18}"/>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659" name="Line 223">
          <a:extLst>
            <a:ext uri="{FF2B5EF4-FFF2-40B4-BE49-F238E27FC236}">
              <a16:creationId xmlns:a16="http://schemas.microsoft.com/office/drawing/2014/main" id="{EDAB94B5-4ECD-4FDE-B0D4-9961925E536D}"/>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660" name="Line 224">
          <a:extLst>
            <a:ext uri="{FF2B5EF4-FFF2-40B4-BE49-F238E27FC236}">
              <a16:creationId xmlns:a16="http://schemas.microsoft.com/office/drawing/2014/main" id="{92E82157-5A08-4950-8F74-8AA298E3DFB4}"/>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61" name="Line 226">
          <a:extLst>
            <a:ext uri="{FF2B5EF4-FFF2-40B4-BE49-F238E27FC236}">
              <a16:creationId xmlns:a16="http://schemas.microsoft.com/office/drawing/2014/main" id="{8525824A-DF6D-48A6-9122-79BD17A6B0F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62" name="Line 227">
          <a:extLst>
            <a:ext uri="{FF2B5EF4-FFF2-40B4-BE49-F238E27FC236}">
              <a16:creationId xmlns:a16="http://schemas.microsoft.com/office/drawing/2014/main" id="{FF0DC0D0-D3BD-42DC-8CC6-57B06BD8D00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63" name="Line 229">
          <a:extLst>
            <a:ext uri="{FF2B5EF4-FFF2-40B4-BE49-F238E27FC236}">
              <a16:creationId xmlns:a16="http://schemas.microsoft.com/office/drawing/2014/main" id="{7A140478-27D0-47E5-B173-6349BB6A192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64" name="Line 230">
          <a:extLst>
            <a:ext uri="{FF2B5EF4-FFF2-40B4-BE49-F238E27FC236}">
              <a16:creationId xmlns:a16="http://schemas.microsoft.com/office/drawing/2014/main" id="{625F0F30-9929-41E8-84D9-F0F1E663102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65" name="Line 232">
          <a:extLst>
            <a:ext uri="{FF2B5EF4-FFF2-40B4-BE49-F238E27FC236}">
              <a16:creationId xmlns:a16="http://schemas.microsoft.com/office/drawing/2014/main" id="{23C2AD53-A1C7-4833-9BEE-FB7A3BC797D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66" name="Line 233">
          <a:extLst>
            <a:ext uri="{FF2B5EF4-FFF2-40B4-BE49-F238E27FC236}">
              <a16:creationId xmlns:a16="http://schemas.microsoft.com/office/drawing/2014/main" id="{1DF248A4-6267-4925-817C-F7DE778D9199}"/>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67" name="Line 235">
          <a:extLst>
            <a:ext uri="{FF2B5EF4-FFF2-40B4-BE49-F238E27FC236}">
              <a16:creationId xmlns:a16="http://schemas.microsoft.com/office/drawing/2014/main" id="{BB836AC7-8D23-4640-B043-CBC90918F846}"/>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68" name="Line 236">
          <a:extLst>
            <a:ext uri="{FF2B5EF4-FFF2-40B4-BE49-F238E27FC236}">
              <a16:creationId xmlns:a16="http://schemas.microsoft.com/office/drawing/2014/main" id="{B2F2A6C3-CD18-4CB1-BA9B-06FCA5ACA32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669" name="Line 238">
          <a:extLst>
            <a:ext uri="{FF2B5EF4-FFF2-40B4-BE49-F238E27FC236}">
              <a16:creationId xmlns:a16="http://schemas.microsoft.com/office/drawing/2014/main" id="{F098E609-9029-4036-B8CA-07F046554DA3}"/>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670" name="Line 239">
          <a:extLst>
            <a:ext uri="{FF2B5EF4-FFF2-40B4-BE49-F238E27FC236}">
              <a16:creationId xmlns:a16="http://schemas.microsoft.com/office/drawing/2014/main" id="{525E5563-5632-44E0-AD70-B2B58631C592}"/>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671" name="Line 240">
          <a:extLst>
            <a:ext uri="{FF2B5EF4-FFF2-40B4-BE49-F238E27FC236}">
              <a16:creationId xmlns:a16="http://schemas.microsoft.com/office/drawing/2014/main" id="{D5A73D68-B768-4DDC-AD9C-1D0D02F9E787}"/>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672" name="Line 241">
          <a:extLst>
            <a:ext uri="{FF2B5EF4-FFF2-40B4-BE49-F238E27FC236}">
              <a16:creationId xmlns:a16="http://schemas.microsoft.com/office/drawing/2014/main" id="{5E44DAAD-879B-45AA-B327-3E8E4EE3B75D}"/>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673" name="Line 242">
          <a:extLst>
            <a:ext uri="{FF2B5EF4-FFF2-40B4-BE49-F238E27FC236}">
              <a16:creationId xmlns:a16="http://schemas.microsoft.com/office/drawing/2014/main" id="{981D903D-558A-4927-88B9-60EAF8F8A429}"/>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74" name="Line 250">
          <a:extLst>
            <a:ext uri="{FF2B5EF4-FFF2-40B4-BE49-F238E27FC236}">
              <a16:creationId xmlns:a16="http://schemas.microsoft.com/office/drawing/2014/main" id="{E3AA0D61-52A5-405A-9FD8-41719877B51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75" name="Line 251">
          <a:extLst>
            <a:ext uri="{FF2B5EF4-FFF2-40B4-BE49-F238E27FC236}">
              <a16:creationId xmlns:a16="http://schemas.microsoft.com/office/drawing/2014/main" id="{6BFE2FB1-2B1E-4680-9B54-B921281B9AC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76" name="Line 259">
          <a:extLst>
            <a:ext uri="{FF2B5EF4-FFF2-40B4-BE49-F238E27FC236}">
              <a16:creationId xmlns:a16="http://schemas.microsoft.com/office/drawing/2014/main" id="{42B3F72C-C0BD-4D73-9613-277C1501C13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77" name="Line 260">
          <a:extLst>
            <a:ext uri="{FF2B5EF4-FFF2-40B4-BE49-F238E27FC236}">
              <a16:creationId xmlns:a16="http://schemas.microsoft.com/office/drawing/2014/main" id="{0C29CAD0-EA67-46FE-8A4C-C963A7E63B3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78" name="Line 263">
          <a:extLst>
            <a:ext uri="{FF2B5EF4-FFF2-40B4-BE49-F238E27FC236}">
              <a16:creationId xmlns:a16="http://schemas.microsoft.com/office/drawing/2014/main" id="{3F7A5521-43F9-478E-A1BB-1F2B9D53CF8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79" name="Line 264">
          <a:extLst>
            <a:ext uri="{FF2B5EF4-FFF2-40B4-BE49-F238E27FC236}">
              <a16:creationId xmlns:a16="http://schemas.microsoft.com/office/drawing/2014/main" id="{27358815-D1EE-45B7-B074-2705405C37F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680" name="Line 222">
          <a:extLst>
            <a:ext uri="{FF2B5EF4-FFF2-40B4-BE49-F238E27FC236}">
              <a16:creationId xmlns:a16="http://schemas.microsoft.com/office/drawing/2014/main" id="{10BB7E07-CBF1-49C9-9194-02398942555C}"/>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681" name="Line 223">
          <a:extLst>
            <a:ext uri="{FF2B5EF4-FFF2-40B4-BE49-F238E27FC236}">
              <a16:creationId xmlns:a16="http://schemas.microsoft.com/office/drawing/2014/main" id="{41C499D3-AD6C-40E0-A4B9-1BCECB318734}"/>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682" name="Line 224">
          <a:extLst>
            <a:ext uri="{FF2B5EF4-FFF2-40B4-BE49-F238E27FC236}">
              <a16:creationId xmlns:a16="http://schemas.microsoft.com/office/drawing/2014/main" id="{88E76C50-4870-4FB0-9EAE-1F5A125CDFEC}"/>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83" name="Line 226">
          <a:extLst>
            <a:ext uri="{FF2B5EF4-FFF2-40B4-BE49-F238E27FC236}">
              <a16:creationId xmlns:a16="http://schemas.microsoft.com/office/drawing/2014/main" id="{7CAB3D6C-C959-4E16-A4A8-72D619CE13E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84" name="Line 227">
          <a:extLst>
            <a:ext uri="{FF2B5EF4-FFF2-40B4-BE49-F238E27FC236}">
              <a16:creationId xmlns:a16="http://schemas.microsoft.com/office/drawing/2014/main" id="{DDB37A02-F1B3-4E75-ADEB-0DAC8C08EB6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85" name="Line 229">
          <a:extLst>
            <a:ext uri="{FF2B5EF4-FFF2-40B4-BE49-F238E27FC236}">
              <a16:creationId xmlns:a16="http://schemas.microsoft.com/office/drawing/2014/main" id="{C78D5A68-A2A3-4278-8228-BA7C6C1A1E0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86" name="Line 230">
          <a:extLst>
            <a:ext uri="{FF2B5EF4-FFF2-40B4-BE49-F238E27FC236}">
              <a16:creationId xmlns:a16="http://schemas.microsoft.com/office/drawing/2014/main" id="{FBC140CB-268C-4A56-B753-F09E2FA601E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87" name="Line 232">
          <a:extLst>
            <a:ext uri="{FF2B5EF4-FFF2-40B4-BE49-F238E27FC236}">
              <a16:creationId xmlns:a16="http://schemas.microsoft.com/office/drawing/2014/main" id="{A4141AD6-CDF1-4867-AEC0-6A012CC688B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88" name="Line 233">
          <a:extLst>
            <a:ext uri="{FF2B5EF4-FFF2-40B4-BE49-F238E27FC236}">
              <a16:creationId xmlns:a16="http://schemas.microsoft.com/office/drawing/2014/main" id="{A7B2FC0F-87E5-4CF7-9861-273646A7798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89" name="Line 235">
          <a:extLst>
            <a:ext uri="{FF2B5EF4-FFF2-40B4-BE49-F238E27FC236}">
              <a16:creationId xmlns:a16="http://schemas.microsoft.com/office/drawing/2014/main" id="{8D111169-2F78-41E3-BBD1-7AE17CA24AA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90" name="Line 236">
          <a:extLst>
            <a:ext uri="{FF2B5EF4-FFF2-40B4-BE49-F238E27FC236}">
              <a16:creationId xmlns:a16="http://schemas.microsoft.com/office/drawing/2014/main" id="{511F6314-9570-467B-A484-845A7AAE193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691" name="Line 238">
          <a:extLst>
            <a:ext uri="{FF2B5EF4-FFF2-40B4-BE49-F238E27FC236}">
              <a16:creationId xmlns:a16="http://schemas.microsoft.com/office/drawing/2014/main" id="{65A2938E-8EF4-46D9-89FC-C88105E56F88}"/>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692" name="Line 239">
          <a:extLst>
            <a:ext uri="{FF2B5EF4-FFF2-40B4-BE49-F238E27FC236}">
              <a16:creationId xmlns:a16="http://schemas.microsoft.com/office/drawing/2014/main" id="{D05E2985-B96A-4344-BFC5-6B77FDDCA1F7}"/>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693" name="Line 240">
          <a:extLst>
            <a:ext uri="{FF2B5EF4-FFF2-40B4-BE49-F238E27FC236}">
              <a16:creationId xmlns:a16="http://schemas.microsoft.com/office/drawing/2014/main" id="{25E41331-98FB-411E-9689-ACCA3A5CA1E9}"/>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694" name="Line 241">
          <a:extLst>
            <a:ext uri="{FF2B5EF4-FFF2-40B4-BE49-F238E27FC236}">
              <a16:creationId xmlns:a16="http://schemas.microsoft.com/office/drawing/2014/main" id="{42CDCC80-D9D5-471C-8F48-321A1F958287}"/>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695" name="Line 242">
          <a:extLst>
            <a:ext uri="{FF2B5EF4-FFF2-40B4-BE49-F238E27FC236}">
              <a16:creationId xmlns:a16="http://schemas.microsoft.com/office/drawing/2014/main" id="{EF5C0A91-A633-4051-B41B-A0809D6EA38B}"/>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96" name="Line 250">
          <a:extLst>
            <a:ext uri="{FF2B5EF4-FFF2-40B4-BE49-F238E27FC236}">
              <a16:creationId xmlns:a16="http://schemas.microsoft.com/office/drawing/2014/main" id="{0AB895E3-2652-47E3-B241-4F7F766BDF7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97" name="Line 251">
          <a:extLst>
            <a:ext uri="{FF2B5EF4-FFF2-40B4-BE49-F238E27FC236}">
              <a16:creationId xmlns:a16="http://schemas.microsoft.com/office/drawing/2014/main" id="{9B4DE975-979F-4289-B22D-28A0B251B5B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698" name="Line 259">
          <a:extLst>
            <a:ext uri="{FF2B5EF4-FFF2-40B4-BE49-F238E27FC236}">
              <a16:creationId xmlns:a16="http://schemas.microsoft.com/office/drawing/2014/main" id="{EC08CCEB-7432-41EB-923B-A6EA08C8FE5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699" name="Line 260">
          <a:extLst>
            <a:ext uri="{FF2B5EF4-FFF2-40B4-BE49-F238E27FC236}">
              <a16:creationId xmlns:a16="http://schemas.microsoft.com/office/drawing/2014/main" id="{B8EB66B4-28C8-48C9-8C84-7C328EC21A7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00" name="Line 263">
          <a:extLst>
            <a:ext uri="{FF2B5EF4-FFF2-40B4-BE49-F238E27FC236}">
              <a16:creationId xmlns:a16="http://schemas.microsoft.com/office/drawing/2014/main" id="{FD9B886D-72FA-4941-9BB8-F86C43BA847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01" name="Line 264">
          <a:extLst>
            <a:ext uri="{FF2B5EF4-FFF2-40B4-BE49-F238E27FC236}">
              <a16:creationId xmlns:a16="http://schemas.microsoft.com/office/drawing/2014/main" id="{823391AF-FCC2-4205-9E8B-250DF742887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02" name="Line 266">
          <a:extLst>
            <a:ext uri="{FF2B5EF4-FFF2-40B4-BE49-F238E27FC236}">
              <a16:creationId xmlns:a16="http://schemas.microsoft.com/office/drawing/2014/main" id="{3D493CEC-D342-4DEB-B61B-1D39732245F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03" name="Line 267">
          <a:extLst>
            <a:ext uri="{FF2B5EF4-FFF2-40B4-BE49-F238E27FC236}">
              <a16:creationId xmlns:a16="http://schemas.microsoft.com/office/drawing/2014/main" id="{73957FC4-DC09-4DD5-9B84-79D34BA616F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04" name="Line 285">
          <a:extLst>
            <a:ext uri="{FF2B5EF4-FFF2-40B4-BE49-F238E27FC236}">
              <a16:creationId xmlns:a16="http://schemas.microsoft.com/office/drawing/2014/main" id="{3FDD9BCE-5890-493F-9E88-096939575A1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05" name="Line 286">
          <a:extLst>
            <a:ext uri="{FF2B5EF4-FFF2-40B4-BE49-F238E27FC236}">
              <a16:creationId xmlns:a16="http://schemas.microsoft.com/office/drawing/2014/main" id="{F1C69305-BC80-4150-8B41-ACAC4AE2CD9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06" name="Line 288">
          <a:extLst>
            <a:ext uri="{FF2B5EF4-FFF2-40B4-BE49-F238E27FC236}">
              <a16:creationId xmlns:a16="http://schemas.microsoft.com/office/drawing/2014/main" id="{05659491-886D-4BB6-88B9-0EF506798B7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07" name="Line 289">
          <a:extLst>
            <a:ext uri="{FF2B5EF4-FFF2-40B4-BE49-F238E27FC236}">
              <a16:creationId xmlns:a16="http://schemas.microsoft.com/office/drawing/2014/main" id="{1086CF0C-696A-4A74-8860-98DD07FD70B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08" name="Line 308">
          <a:extLst>
            <a:ext uri="{FF2B5EF4-FFF2-40B4-BE49-F238E27FC236}">
              <a16:creationId xmlns:a16="http://schemas.microsoft.com/office/drawing/2014/main" id="{772F2A98-7547-4F70-9C85-030C4618A3FC}"/>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09" name="Line 309">
          <a:extLst>
            <a:ext uri="{FF2B5EF4-FFF2-40B4-BE49-F238E27FC236}">
              <a16:creationId xmlns:a16="http://schemas.microsoft.com/office/drawing/2014/main" id="{1A3DE420-551E-4543-9AB2-B59D22BF2A8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10" name="Line 333">
          <a:extLst>
            <a:ext uri="{FF2B5EF4-FFF2-40B4-BE49-F238E27FC236}">
              <a16:creationId xmlns:a16="http://schemas.microsoft.com/office/drawing/2014/main" id="{2D239DD1-5B70-4025-B78A-75A0E892035E}"/>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11" name="Line 334">
          <a:extLst>
            <a:ext uri="{FF2B5EF4-FFF2-40B4-BE49-F238E27FC236}">
              <a16:creationId xmlns:a16="http://schemas.microsoft.com/office/drawing/2014/main" id="{6DBAAFD6-9833-4DB8-9848-C028E1E80B2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12" name="Line 340">
          <a:extLst>
            <a:ext uri="{FF2B5EF4-FFF2-40B4-BE49-F238E27FC236}">
              <a16:creationId xmlns:a16="http://schemas.microsoft.com/office/drawing/2014/main" id="{E8A60CCE-C4BA-4C23-9F43-80CE239C569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13" name="Line 341">
          <a:extLst>
            <a:ext uri="{FF2B5EF4-FFF2-40B4-BE49-F238E27FC236}">
              <a16:creationId xmlns:a16="http://schemas.microsoft.com/office/drawing/2014/main" id="{739E43CB-F189-4F2B-9D26-92B3C58247F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323850</xdr:colOff>
      <xdr:row>0</xdr:row>
      <xdr:rowOff>209550</xdr:rowOff>
    </xdr:from>
    <xdr:to>
      <xdr:col>2</xdr:col>
      <xdr:colOff>447675</xdr:colOff>
      <xdr:row>0</xdr:row>
      <xdr:rowOff>209550</xdr:rowOff>
    </xdr:to>
    <xdr:sp macro="" textlink="">
      <xdr:nvSpPr>
        <xdr:cNvPr id="714" name="Line 248">
          <a:extLst>
            <a:ext uri="{FF2B5EF4-FFF2-40B4-BE49-F238E27FC236}">
              <a16:creationId xmlns:a16="http://schemas.microsoft.com/office/drawing/2014/main" id="{82293C09-797A-43AB-910B-FDD770A427E9}"/>
            </a:ext>
          </a:extLst>
        </xdr:cNvPr>
        <xdr:cNvSpPr>
          <a:spLocks noChangeShapeType="1"/>
        </xdr:cNvSpPr>
      </xdr:nvSpPr>
      <xdr:spPr bwMode="auto">
        <a:xfrm>
          <a:off x="6610350" y="209550"/>
          <a:ext cx="1238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323850</xdr:colOff>
      <xdr:row>0</xdr:row>
      <xdr:rowOff>209550</xdr:rowOff>
    </xdr:from>
    <xdr:to>
      <xdr:col>2</xdr:col>
      <xdr:colOff>438150</xdr:colOff>
      <xdr:row>0</xdr:row>
      <xdr:rowOff>209550</xdr:rowOff>
    </xdr:to>
    <xdr:sp macro="" textlink="">
      <xdr:nvSpPr>
        <xdr:cNvPr id="715" name="Line 248">
          <a:extLst>
            <a:ext uri="{FF2B5EF4-FFF2-40B4-BE49-F238E27FC236}">
              <a16:creationId xmlns:a16="http://schemas.microsoft.com/office/drawing/2014/main" id="{4DD1E57E-1944-4A20-94BA-991EE3A96493}"/>
            </a:ext>
          </a:extLst>
        </xdr:cNvPr>
        <xdr:cNvSpPr>
          <a:spLocks noChangeShapeType="1"/>
        </xdr:cNvSpPr>
      </xdr:nvSpPr>
      <xdr:spPr bwMode="auto">
        <a:xfrm flipH="1">
          <a:off x="6610350" y="209550"/>
          <a:ext cx="1143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16" name="Line 340">
          <a:extLst>
            <a:ext uri="{FF2B5EF4-FFF2-40B4-BE49-F238E27FC236}">
              <a16:creationId xmlns:a16="http://schemas.microsoft.com/office/drawing/2014/main" id="{EA5BAB7F-9C6F-4BD6-AE11-C6C61438B29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17" name="Line 341">
          <a:extLst>
            <a:ext uri="{FF2B5EF4-FFF2-40B4-BE49-F238E27FC236}">
              <a16:creationId xmlns:a16="http://schemas.microsoft.com/office/drawing/2014/main" id="{1C2F559A-25D6-42B5-AF25-233FAC28E2B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18" name="Line 340">
          <a:extLst>
            <a:ext uri="{FF2B5EF4-FFF2-40B4-BE49-F238E27FC236}">
              <a16:creationId xmlns:a16="http://schemas.microsoft.com/office/drawing/2014/main" id="{06DFA494-27A8-4FC1-8425-8887AAEAAC6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19" name="Line 341">
          <a:extLst>
            <a:ext uri="{FF2B5EF4-FFF2-40B4-BE49-F238E27FC236}">
              <a16:creationId xmlns:a16="http://schemas.microsoft.com/office/drawing/2014/main" id="{C9239592-F7C4-4558-A37D-00E6ADC3ECC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20" name="Line 340">
          <a:extLst>
            <a:ext uri="{FF2B5EF4-FFF2-40B4-BE49-F238E27FC236}">
              <a16:creationId xmlns:a16="http://schemas.microsoft.com/office/drawing/2014/main" id="{9AD6F698-A80E-4305-A6A2-58C7D11642D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21" name="Line 341">
          <a:extLst>
            <a:ext uri="{FF2B5EF4-FFF2-40B4-BE49-F238E27FC236}">
              <a16:creationId xmlns:a16="http://schemas.microsoft.com/office/drawing/2014/main" id="{8412ACA2-ED2E-4AEB-8596-91173935ED2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22" name="Line 333">
          <a:extLst>
            <a:ext uri="{FF2B5EF4-FFF2-40B4-BE49-F238E27FC236}">
              <a16:creationId xmlns:a16="http://schemas.microsoft.com/office/drawing/2014/main" id="{DA105AE4-887B-4880-81CD-E504CFE7662B}"/>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23" name="Line 334">
          <a:extLst>
            <a:ext uri="{FF2B5EF4-FFF2-40B4-BE49-F238E27FC236}">
              <a16:creationId xmlns:a16="http://schemas.microsoft.com/office/drawing/2014/main" id="{0F7D3F5F-5FD5-42F3-B0B0-AC324012C1A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24" name="Line 333">
          <a:extLst>
            <a:ext uri="{FF2B5EF4-FFF2-40B4-BE49-F238E27FC236}">
              <a16:creationId xmlns:a16="http://schemas.microsoft.com/office/drawing/2014/main" id="{7D44FDAF-F55B-464D-A863-EB65A7A21B69}"/>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25" name="Line 334">
          <a:extLst>
            <a:ext uri="{FF2B5EF4-FFF2-40B4-BE49-F238E27FC236}">
              <a16:creationId xmlns:a16="http://schemas.microsoft.com/office/drawing/2014/main" id="{11BE2546-139D-4770-B556-5C52D24FF24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26" name="Line 333">
          <a:extLst>
            <a:ext uri="{FF2B5EF4-FFF2-40B4-BE49-F238E27FC236}">
              <a16:creationId xmlns:a16="http://schemas.microsoft.com/office/drawing/2014/main" id="{056EF6F4-1D90-4E6E-AD26-B4C138A59730}"/>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27" name="Line 334">
          <a:extLst>
            <a:ext uri="{FF2B5EF4-FFF2-40B4-BE49-F238E27FC236}">
              <a16:creationId xmlns:a16="http://schemas.microsoft.com/office/drawing/2014/main" id="{F10635B9-A4E7-43F9-B12D-9A12C73D684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728" name="Line 222">
          <a:extLst>
            <a:ext uri="{FF2B5EF4-FFF2-40B4-BE49-F238E27FC236}">
              <a16:creationId xmlns:a16="http://schemas.microsoft.com/office/drawing/2014/main" id="{C104D603-2E3B-450B-B376-910465E8EF9C}"/>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729" name="Line 223">
          <a:extLst>
            <a:ext uri="{FF2B5EF4-FFF2-40B4-BE49-F238E27FC236}">
              <a16:creationId xmlns:a16="http://schemas.microsoft.com/office/drawing/2014/main" id="{56831FC0-7424-4DB2-A6A0-F1FEA444A505}"/>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730" name="Line 224">
          <a:extLst>
            <a:ext uri="{FF2B5EF4-FFF2-40B4-BE49-F238E27FC236}">
              <a16:creationId xmlns:a16="http://schemas.microsoft.com/office/drawing/2014/main" id="{0CC43DD0-9792-4512-ABEE-EC0A9651DF5D}"/>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31" name="Line 226">
          <a:extLst>
            <a:ext uri="{FF2B5EF4-FFF2-40B4-BE49-F238E27FC236}">
              <a16:creationId xmlns:a16="http://schemas.microsoft.com/office/drawing/2014/main" id="{E8FF02F7-E12F-4F67-A3E5-5F062678C34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32" name="Line 227">
          <a:extLst>
            <a:ext uri="{FF2B5EF4-FFF2-40B4-BE49-F238E27FC236}">
              <a16:creationId xmlns:a16="http://schemas.microsoft.com/office/drawing/2014/main" id="{179CACFF-D1AF-4043-990D-AEDDDEB2EDD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33" name="Line 229">
          <a:extLst>
            <a:ext uri="{FF2B5EF4-FFF2-40B4-BE49-F238E27FC236}">
              <a16:creationId xmlns:a16="http://schemas.microsoft.com/office/drawing/2014/main" id="{1B722408-C109-48A4-B9D1-2732324F0D2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34" name="Line 230">
          <a:extLst>
            <a:ext uri="{FF2B5EF4-FFF2-40B4-BE49-F238E27FC236}">
              <a16:creationId xmlns:a16="http://schemas.microsoft.com/office/drawing/2014/main" id="{F157033D-BA03-40CD-9D9A-4CB1E6CD1A1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35" name="Line 232">
          <a:extLst>
            <a:ext uri="{FF2B5EF4-FFF2-40B4-BE49-F238E27FC236}">
              <a16:creationId xmlns:a16="http://schemas.microsoft.com/office/drawing/2014/main" id="{F1A02DE7-DAA2-4527-B3D5-ADB49DAC2D4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36" name="Line 233">
          <a:extLst>
            <a:ext uri="{FF2B5EF4-FFF2-40B4-BE49-F238E27FC236}">
              <a16:creationId xmlns:a16="http://schemas.microsoft.com/office/drawing/2014/main" id="{A5E153E5-F79D-4C19-AD9C-07F3DF564BA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37" name="Line 235">
          <a:extLst>
            <a:ext uri="{FF2B5EF4-FFF2-40B4-BE49-F238E27FC236}">
              <a16:creationId xmlns:a16="http://schemas.microsoft.com/office/drawing/2014/main" id="{526E4E31-7677-4D59-8F44-93A79384295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38" name="Line 236">
          <a:extLst>
            <a:ext uri="{FF2B5EF4-FFF2-40B4-BE49-F238E27FC236}">
              <a16:creationId xmlns:a16="http://schemas.microsoft.com/office/drawing/2014/main" id="{0C98EC09-56CC-4C67-994E-45FD8AF75779}"/>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739" name="Line 238">
          <a:extLst>
            <a:ext uri="{FF2B5EF4-FFF2-40B4-BE49-F238E27FC236}">
              <a16:creationId xmlns:a16="http://schemas.microsoft.com/office/drawing/2014/main" id="{B14D2D61-2493-4705-B3E2-2781C7D7ABA3}"/>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740" name="Line 239">
          <a:extLst>
            <a:ext uri="{FF2B5EF4-FFF2-40B4-BE49-F238E27FC236}">
              <a16:creationId xmlns:a16="http://schemas.microsoft.com/office/drawing/2014/main" id="{1D8F1642-A673-45A1-81E7-FCA45A94F106}"/>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741" name="Line 240">
          <a:extLst>
            <a:ext uri="{FF2B5EF4-FFF2-40B4-BE49-F238E27FC236}">
              <a16:creationId xmlns:a16="http://schemas.microsoft.com/office/drawing/2014/main" id="{BBA3F439-D949-4758-8E7D-55747A5C201F}"/>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742" name="Line 241">
          <a:extLst>
            <a:ext uri="{FF2B5EF4-FFF2-40B4-BE49-F238E27FC236}">
              <a16:creationId xmlns:a16="http://schemas.microsoft.com/office/drawing/2014/main" id="{AADAE9AE-4A63-454A-A404-0CBA98A8333A}"/>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743" name="Line 242">
          <a:extLst>
            <a:ext uri="{FF2B5EF4-FFF2-40B4-BE49-F238E27FC236}">
              <a16:creationId xmlns:a16="http://schemas.microsoft.com/office/drawing/2014/main" id="{F6E7A075-9224-43C2-8B29-2671E5FD78A3}"/>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44" name="Line 250">
          <a:extLst>
            <a:ext uri="{FF2B5EF4-FFF2-40B4-BE49-F238E27FC236}">
              <a16:creationId xmlns:a16="http://schemas.microsoft.com/office/drawing/2014/main" id="{43F5995C-874E-47BE-A349-225CC621146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45" name="Line 251">
          <a:extLst>
            <a:ext uri="{FF2B5EF4-FFF2-40B4-BE49-F238E27FC236}">
              <a16:creationId xmlns:a16="http://schemas.microsoft.com/office/drawing/2014/main" id="{D2B29DF7-E5DA-49FF-BA24-F9C89A79088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46" name="Line 259">
          <a:extLst>
            <a:ext uri="{FF2B5EF4-FFF2-40B4-BE49-F238E27FC236}">
              <a16:creationId xmlns:a16="http://schemas.microsoft.com/office/drawing/2014/main" id="{2F47E699-BF12-4371-9418-ED14A9483EC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47" name="Line 260">
          <a:extLst>
            <a:ext uri="{FF2B5EF4-FFF2-40B4-BE49-F238E27FC236}">
              <a16:creationId xmlns:a16="http://schemas.microsoft.com/office/drawing/2014/main" id="{881CFF0F-2A20-428E-8BD1-F9572032BEF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48" name="Line 263">
          <a:extLst>
            <a:ext uri="{FF2B5EF4-FFF2-40B4-BE49-F238E27FC236}">
              <a16:creationId xmlns:a16="http://schemas.microsoft.com/office/drawing/2014/main" id="{68CB2474-5581-45CA-9810-30807BEE424E}"/>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49" name="Line 264">
          <a:extLst>
            <a:ext uri="{FF2B5EF4-FFF2-40B4-BE49-F238E27FC236}">
              <a16:creationId xmlns:a16="http://schemas.microsoft.com/office/drawing/2014/main" id="{38D3EA4D-D9C2-4F2C-B52F-87D076FFE3F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750" name="Line 222">
          <a:extLst>
            <a:ext uri="{FF2B5EF4-FFF2-40B4-BE49-F238E27FC236}">
              <a16:creationId xmlns:a16="http://schemas.microsoft.com/office/drawing/2014/main" id="{6AB69209-3A74-4308-8935-5484D2A8EBCB}"/>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751" name="Line 223">
          <a:extLst>
            <a:ext uri="{FF2B5EF4-FFF2-40B4-BE49-F238E27FC236}">
              <a16:creationId xmlns:a16="http://schemas.microsoft.com/office/drawing/2014/main" id="{2C485047-22B1-4BE2-8CBC-F03E1B9935A3}"/>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752" name="Line 224">
          <a:extLst>
            <a:ext uri="{FF2B5EF4-FFF2-40B4-BE49-F238E27FC236}">
              <a16:creationId xmlns:a16="http://schemas.microsoft.com/office/drawing/2014/main" id="{423DFA6A-AA38-4F75-AD20-4A9EA20C42FD}"/>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53" name="Line 226">
          <a:extLst>
            <a:ext uri="{FF2B5EF4-FFF2-40B4-BE49-F238E27FC236}">
              <a16:creationId xmlns:a16="http://schemas.microsoft.com/office/drawing/2014/main" id="{83637621-EFB7-4CAA-AFA8-C60184765CD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54" name="Line 227">
          <a:extLst>
            <a:ext uri="{FF2B5EF4-FFF2-40B4-BE49-F238E27FC236}">
              <a16:creationId xmlns:a16="http://schemas.microsoft.com/office/drawing/2014/main" id="{07180888-62D0-423A-A27C-00BED9676A79}"/>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55" name="Line 229">
          <a:extLst>
            <a:ext uri="{FF2B5EF4-FFF2-40B4-BE49-F238E27FC236}">
              <a16:creationId xmlns:a16="http://schemas.microsoft.com/office/drawing/2014/main" id="{5B5AF1E6-9C7A-4539-B48D-2BD1742DB316}"/>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56" name="Line 230">
          <a:extLst>
            <a:ext uri="{FF2B5EF4-FFF2-40B4-BE49-F238E27FC236}">
              <a16:creationId xmlns:a16="http://schemas.microsoft.com/office/drawing/2014/main" id="{79F12E7C-7D19-422E-BE85-7DD7A8D7D26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57" name="Line 232">
          <a:extLst>
            <a:ext uri="{FF2B5EF4-FFF2-40B4-BE49-F238E27FC236}">
              <a16:creationId xmlns:a16="http://schemas.microsoft.com/office/drawing/2014/main" id="{3BD39684-CEE7-4425-8C4D-B7EFCBF4ACE6}"/>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58" name="Line 233">
          <a:extLst>
            <a:ext uri="{FF2B5EF4-FFF2-40B4-BE49-F238E27FC236}">
              <a16:creationId xmlns:a16="http://schemas.microsoft.com/office/drawing/2014/main" id="{52C2C4A2-4F1B-4A61-8D2E-76FDB8E1EAC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59" name="Line 235">
          <a:extLst>
            <a:ext uri="{FF2B5EF4-FFF2-40B4-BE49-F238E27FC236}">
              <a16:creationId xmlns:a16="http://schemas.microsoft.com/office/drawing/2014/main" id="{EAB6461A-D50C-4C87-8474-F7C929315EA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60" name="Line 236">
          <a:extLst>
            <a:ext uri="{FF2B5EF4-FFF2-40B4-BE49-F238E27FC236}">
              <a16:creationId xmlns:a16="http://schemas.microsoft.com/office/drawing/2014/main" id="{764701CB-6B19-43F7-92BA-6EE9A0C484E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761" name="Line 238">
          <a:extLst>
            <a:ext uri="{FF2B5EF4-FFF2-40B4-BE49-F238E27FC236}">
              <a16:creationId xmlns:a16="http://schemas.microsoft.com/office/drawing/2014/main" id="{9DDDF819-5A8F-426B-8CD5-392AC3067D6D}"/>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762" name="Line 239">
          <a:extLst>
            <a:ext uri="{FF2B5EF4-FFF2-40B4-BE49-F238E27FC236}">
              <a16:creationId xmlns:a16="http://schemas.microsoft.com/office/drawing/2014/main" id="{67A85E4D-4C6D-4D5A-A9EE-E8476355279F}"/>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763" name="Line 240">
          <a:extLst>
            <a:ext uri="{FF2B5EF4-FFF2-40B4-BE49-F238E27FC236}">
              <a16:creationId xmlns:a16="http://schemas.microsoft.com/office/drawing/2014/main" id="{76E55782-E6E4-4B7E-B263-DADD27D5116A}"/>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764" name="Line 241">
          <a:extLst>
            <a:ext uri="{FF2B5EF4-FFF2-40B4-BE49-F238E27FC236}">
              <a16:creationId xmlns:a16="http://schemas.microsoft.com/office/drawing/2014/main" id="{0078DAD3-2454-4C96-81FE-A5BB8F6E6781}"/>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765" name="Line 242">
          <a:extLst>
            <a:ext uri="{FF2B5EF4-FFF2-40B4-BE49-F238E27FC236}">
              <a16:creationId xmlns:a16="http://schemas.microsoft.com/office/drawing/2014/main" id="{BA99CE13-3801-454F-BB2B-C0A48B0882C8}"/>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66" name="Line 250">
          <a:extLst>
            <a:ext uri="{FF2B5EF4-FFF2-40B4-BE49-F238E27FC236}">
              <a16:creationId xmlns:a16="http://schemas.microsoft.com/office/drawing/2014/main" id="{420791EB-1231-45E3-AC13-777B6E49848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67" name="Line 251">
          <a:extLst>
            <a:ext uri="{FF2B5EF4-FFF2-40B4-BE49-F238E27FC236}">
              <a16:creationId xmlns:a16="http://schemas.microsoft.com/office/drawing/2014/main" id="{F50994B7-4A42-4F62-95C0-D9F8BCBE043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68" name="Line 259">
          <a:extLst>
            <a:ext uri="{FF2B5EF4-FFF2-40B4-BE49-F238E27FC236}">
              <a16:creationId xmlns:a16="http://schemas.microsoft.com/office/drawing/2014/main" id="{151DFDEA-155F-4537-826A-F10A4182A5D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69" name="Line 260">
          <a:extLst>
            <a:ext uri="{FF2B5EF4-FFF2-40B4-BE49-F238E27FC236}">
              <a16:creationId xmlns:a16="http://schemas.microsoft.com/office/drawing/2014/main" id="{EE6880D7-F2BD-4E93-B881-4EACF7D09589}"/>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70" name="Line 263">
          <a:extLst>
            <a:ext uri="{FF2B5EF4-FFF2-40B4-BE49-F238E27FC236}">
              <a16:creationId xmlns:a16="http://schemas.microsoft.com/office/drawing/2014/main" id="{B6C71848-168D-4033-9FF4-420CCCD0FF5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71" name="Line 264">
          <a:extLst>
            <a:ext uri="{FF2B5EF4-FFF2-40B4-BE49-F238E27FC236}">
              <a16:creationId xmlns:a16="http://schemas.microsoft.com/office/drawing/2014/main" id="{A8718E7D-DAA1-41EF-8250-7A11AEDB71C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72" name="Line 266">
          <a:extLst>
            <a:ext uri="{FF2B5EF4-FFF2-40B4-BE49-F238E27FC236}">
              <a16:creationId xmlns:a16="http://schemas.microsoft.com/office/drawing/2014/main" id="{4CDA50AF-282A-4650-8772-56F2C4BDD32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73" name="Line 267">
          <a:extLst>
            <a:ext uri="{FF2B5EF4-FFF2-40B4-BE49-F238E27FC236}">
              <a16:creationId xmlns:a16="http://schemas.microsoft.com/office/drawing/2014/main" id="{9DFF83CD-9887-47A0-81BF-6950C8290C8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74" name="Line 285">
          <a:extLst>
            <a:ext uri="{FF2B5EF4-FFF2-40B4-BE49-F238E27FC236}">
              <a16:creationId xmlns:a16="http://schemas.microsoft.com/office/drawing/2014/main" id="{94CA985B-ACA6-4720-89D9-1B020CEDC1C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75" name="Line 286">
          <a:extLst>
            <a:ext uri="{FF2B5EF4-FFF2-40B4-BE49-F238E27FC236}">
              <a16:creationId xmlns:a16="http://schemas.microsoft.com/office/drawing/2014/main" id="{D20F20F1-19B0-43B1-BD37-52C8DEA999B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76" name="Line 288">
          <a:extLst>
            <a:ext uri="{FF2B5EF4-FFF2-40B4-BE49-F238E27FC236}">
              <a16:creationId xmlns:a16="http://schemas.microsoft.com/office/drawing/2014/main" id="{CFE909BB-F676-4E49-9294-19160C5A5E4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77" name="Line 289">
          <a:extLst>
            <a:ext uri="{FF2B5EF4-FFF2-40B4-BE49-F238E27FC236}">
              <a16:creationId xmlns:a16="http://schemas.microsoft.com/office/drawing/2014/main" id="{C81CC0EB-F532-4A6C-A23C-24C72D8A048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778" name="Line 293">
          <a:extLst>
            <a:ext uri="{FF2B5EF4-FFF2-40B4-BE49-F238E27FC236}">
              <a16:creationId xmlns:a16="http://schemas.microsoft.com/office/drawing/2014/main" id="{E6CE7745-158F-4893-8C9F-796FC95C079B}"/>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779" name="Line 222">
          <a:extLst>
            <a:ext uri="{FF2B5EF4-FFF2-40B4-BE49-F238E27FC236}">
              <a16:creationId xmlns:a16="http://schemas.microsoft.com/office/drawing/2014/main" id="{D34BEA33-DDEB-41A3-8D23-A5AC0D1C04A6}"/>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780" name="Line 223">
          <a:extLst>
            <a:ext uri="{FF2B5EF4-FFF2-40B4-BE49-F238E27FC236}">
              <a16:creationId xmlns:a16="http://schemas.microsoft.com/office/drawing/2014/main" id="{B003312D-ABBC-4B74-8B07-06C474772657}"/>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781" name="Line 224">
          <a:extLst>
            <a:ext uri="{FF2B5EF4-FFF2-40B4-BE49-F238E27FC236}">
              <a16:creationId xmlns:a16="http://schemas.microsoft.com/office/drawing/2014/main" id="{9515F418-8368-45F2-9A44-8B37818D0756}"/>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82" name="Line 226">
          <a:extLst>
            <a:ext uri="{FF2B5EF4-FFF2-40B4-BE49-F238E27FC236}">
              <a16:creationId xmlns:a16="http://schemas.microsoft.com/office/drawing/2014/main" id="{68C7FC22-9C39-41A8-9F73-2C2C96B9513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83" name="Line 227">
          <a:extLst>
            <a:ext uri="{FF2B5EF4-FFF2-40B4-BE49-F238E27FC236}">
              <a16:creationId xmlns:a16="http://schemas.microsoft.com/office/drawing/2014/main" id="{A6B6B290-C3C9-470D-AFB5-7E2233D389D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84" name="Line 229">
          <a:extLst>
            <a:ext uri="{FF2B5EF4-FFF2-40B4-BE49-F238E27FC236}">
              <a16:creationId xmlns:a16="http://schemas.microsoft.com/office/drawing/2014/main" id="{1FC6792C-8D4B-47BF-8F49-08803D59E90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785" name="Line 222">
          <a:extLst>
            <a:ext uri="{FF2B5EF4-FFF2-40B4-BE49-F238E27FC236}">
              <a16:creationId xmlns:a16="http://schemas.microsoft.com/office/drawing/2014/main" id="{55BC1FE0-D874-46E2-BCC7-61A77AADFB99}"/>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786" name="Line 223">
          <a:extLst>
            <a:ext uri="{FF2B5EF4-FFF2-40B4-BE49-F238E27FC236}">
              <a16:creationId xmlns:a16="http://schemas.microsoft.com/office/drawing/2014/main" id="{9D1A79CC-C7F4-41D0-BB65-BC9B47DC4317}"/>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787" name="Line 224">
          <a:extLst>
            <a:ext uri="{FF2B5EF4-FFF2-40B4-BE49-F238E27FC236}">
              <a16:creationId xmlns:a16="http://schemas.microsoft.com/office/drawing/2014/main" id="{2FF6F292-FF2C-48FC-8D56-97888D754718}"/>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88" name="Line 226">
          <a:extLst>
            <a:ext uri="{FF2B5EF4-FFF2-40B4-BE49-F238E27FC236}">
              <a16:creationId xmlns:a16="http://schemas.microsoft.com/office/drawing/2014/main" id="{6286AD12-75F0-4227-A7CE-F24725F8BC1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89" name="Line 227">
          <a:extLst>
            <a:ext uri="{FF2B5EF4-FFF2-40B4-BE49-F238E27FC236}">
              <a16:creationId xmlns:a16="http://schemas.microsoft.com/office/drawing/2014/main" id="{6A62BB8F-3E14-40DF-A6EF-D1C858BD628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90" name="Line 229">
          <a:extLst>
            <a:ext uri="{FF2B5EF4-FFF2-40B4-BE49-F238E27FC236}">
              <a16:creationId xmlns:a16="http://schemas.microsoft.com/office/drawing/2014/main" id="{76964E6F-35A7-4752-9291-A01224886C1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91" name="Line 230">
          <a:extLst>
            <a:ext uri="{FF2B5EF4-FFF2-40B4-BE49-F238E27FC236}">
              <a16:creationId xmlns:a16="http://schemas.microsoft.com/office/drawing/2014/main" id="{7598FB9C-F701-423B-9985-59547113B67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92" name="Line 232">
          <a:extLst>
            <a:ext uri="{FF2B5EF4-FFF2-40B4-BE49-F238E27FC236}">
              <a16:creationId xmlns:a16="http://schemas.microsoft.com/office/drawing/2014/main" id="{264EAD4F-F15B-4CE0-8C88-8C299738980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93" name="Line 233">
          <a:extLst>
            <a:ext uri="{FF2B5EF4-FFF2-40B4-BE49-F238E27FC236}">
              <a16:creationId xmlns:a16="http://schemas.microsoft.com/office/drawing/2014/main" id="{C5CE1371-99DE-4106-8E63-811F7D65607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794" name="Line 235">
          <a:extLst>
            <a:ext uri="{FF2B5EF4-FFF2-40B4-BE49-F238E27FC236}">
              <a16:creationId xmlns:a16="http://schemas.microsoft.com/office/drawing/2014/main" id="{E11925A3-625D-4E41-8C53-A842143C60F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795" name="Line 236">
          <a:extLst>
            <a:ext uri="{FF2B5EF4-FFF2-40B4-BE49-F238E27FC236}">
              <a16:creationId xmlns:a16="http://schemas.microsoft.com/office/drawing/2014/main" id="{8E5941E5-7779-4795-B509-AE001FFD21D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796" name="Line 238">
          <a:extLst>
            <a:ext uri="{FF2B5EF4-FFF2-40B4-BE49-F238E27FC236}">
              <a16:creationId xmlns:a16="http://schemas.microsoft.com/office/drawing/2014/main" id="{2A9666E5-1A1D-4CDA-8BAC-28F74AB23776}"/>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797" name="Line 239">
          <a:extLst>
            <a:ext uri="{FF2B5EF4-FFF2-40B4-BE49-F238E27FC236}">
              <a16:creationId xmlns:a16="http://schemas.microsoft.com/office/drawing/2014/main" id="{67EE1404-9672-44AF-9602-0324CC4ED26D}"/>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798" name="Line 240">
          <a:extLst>
            <a:ext uri="{FF2B5EF4-FFF2-40B4-BE49-F238E27FC236}">
              <a16:creationId xmlns:a16="http://schemas.microsoft.com/office/drawing/2014/main" id="{A1061BF6-7CA5-4629-9270-8D6AD1EA2361}"/>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799" name="Line 241">
          <a:extLst>
            <a:ext uri="{FF2B5EF4-FFF2-40B4-BE49-F238E27FC236}">
              <a16:creationId xmlns:a16="http://schemas.microsoft.com/office/drawing/2014/main" id="{8BD4DB69-D222-4799-AE4A-48D6D76849FF}"/>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800" name="Line 242">
          <a:extLst>
            <a:ext uri="{FF2B5EF4-FFF2-40B4-BE49-F238E27FC236}">
              <a16:creationId xmlns:a16="http://schemas.microsoft.com/office/drawing/2014/main" id="{B0142D94-22A3-4295-BBD2-11F1D0791846}"/>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01" name="Line 250">
          <a:extLst>
            <a:ext uri="{FF2B5EF4-FFF2-40B4-BE49-F238E27FC236}">
              <a16:creationId xmlns:a16="http://schemas.microsoft.com/office/drawing/2014/main" id="{07BE4637-BF0D-411B-A57C-F87E8925F12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02" name="Line 251">
          <a:extLst>
            <a:ext uri="{FF2B5EF4-FFF2-40B4-BE49-F238E27FC236}">
              <a16:creationId xmlns:a16="http://schemas.microsoft.com/office/drawing/2014/main" id="{B72F4B48-6DF2-4BA8-B6E3-7A3ADCD0BEF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03" name="Line 259">
          <a:extLst>
            <a:ext uri="{FF2B5EF4-FFF2-40B4-BE49-F238E27FC236}">
              <a16:creationId xmlns:a16="http://schemas.microsoft.com/office/drawing/2014/main" id="{E2A9D70C-AD14-4BB9-AA99-88877D2E5A0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04" name="Line 260">
          <a:extLst>
            <a:ext uri="{FF2B5EF4-FFF2-40B4-BE49-F238E27FC236}">
              <a16:creationId xmlns:a16="http://schemas.microsoft.com/office/drawing/2014/main" id="{E0316D1D-E9AD-498E-ADB6-94FA2561C9E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05" name="Line 263">
          <a:extLst>
            <a:ext uri="{FF2B5EF4-FFF2-40B4-BE49-F238E27FC236}">
              <a16:creationId xmlns:a16="http://schemas.microsoft.com/office/drawing/2014/main" id="{4438B005-1041-4449-9711-6792CE44D67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06" name="Line 264">
          <a:extLst>
            <a:ext uri="{FF2B5EF4-FFF2-40B4-BE49-F238E27FC236}">
              <a16:creationId xmlns:a16="http://schemas.microsoft.com/office/drawing/2014/main" id="{5AD5080D-A136-449C-9F75-A27F7B6A3C3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807" name="Line 222">
          <a:extLst>
            <a:ext uri="{FF2B5EF4-FFF2-40B4-BE49-F238E27FC236}">
              <a16:creationId xmlns:a16="http://schemas.microsoft.com/office/drawing/2014/main" id="{D5FAEAFA-3160-4EE7-879D-E67EE7149305}"/>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808" name="Line 223">
          <a:extLst>
            <a:ext uri="{FF2B5EF4-FFF2-40B4-BE49-F238E27FC236}">
              <a16:creationId xmlns:a16="http://schemas.microsoft.com/office/drawing/2014/main" id="{8E21E881-F440-477D-B342-744A0F219408}"/>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809" name="Line 224">
          <a:extLst>
            <a:ext uri="{FF2B5EF4-FFF2-40B4-BE49-F238E27FC236}">
              <a16:creationId xmlns:a16="http://schemas.microsoft.com/office/drawing/2014/main" id="{EA3E18FB-2BEF-41E2-9D95-F2EE8CBEE58C}"/>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10" name="Line 226">
          <a:extLst>
            <a:ext uri="{FF2B5EF4-FFF2-40B4-BE49-F238E27FC236}">
              <a16:creationId xmlns:a16="http://schemas.microsoft.com/office/drawing/2014/main" id="{112BA430-FCC0-45DA-BB87-0B636D8F035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11" name="Line 227">
          <a:extLst>
            <a:ext uri="{FF2B5EF4-FFF2-40B4-BE49-F238E27FC236}">
              <a16:creationId xmlns:a16="http://schemas.microsoft.com/office/drawing/2014/main" id="{1E815C06-2316-4147-B951-C14198D2862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12" name="Line 229">
          <a:extLst>
            <a:ext uri="{FF2B5EF4-FFF2-40B4-BE49-F238E27FC236}">
              <a16:creationId xmlns:a16="http://schemas.microsoft.com/office/drawing/2014/main" id="{A041B04C-61D1-4B06-AAD3-6C8B7A9B4B8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13" name="Line 230">
          <a:extLst>
            <a:ext uri="{FF2B5EF4-FFF2-40B4-BE49-F238E27FC236}">
              <a16:creationId xmlns:a16="http://schemas.microsoft.com/office/drawing/2014/main" id="{B24AAF33-FB97-4D2E-9FAD-89CC04C42C1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14" name="Line 232">
          <a:extLst>
            <a:ext uri="{FF2B5EF4-FFF2-40B4-BE49-F238E27FC236}">
              <a16:creationId xmlns:a16="http://schemas.microsoft.com/office/drawing/2014/main" id="{F3F413C6-1773-43D7-90BA-5D8E8C96242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15" name="Line 233">
          <a:extLst>
            <a:ext uri="{FF2B5EF4-FFF2-40B4-BE49-F238E27FC236}">
              <a16:creationId xmlns:a16="http://schemas.microsoft.com/office/drawing/2014/main" id="{C370CEA7-309D-49D5-91F6-31AE3ADF39B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16" name="Line 235">
          <a:extLst>
            <a:ext uri="{FF2B5EF4-FFF2-40B4-BE49-F238E27FC236}">
              <a16:creationId xmlns:a16="http://schemas.microsoft.com/office/drawing/2014/main" id="{3FACB56A-680B-49EC-87E2-31175D649F7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17" name="Line 236">
          <a:extLst>
            <a:ext uri="{FF2B5EF4-FFF2-40B4-BE49-F238E27FC236}">
              <a16:creationId xmlns:a16="http://schemas.microsoft.com/office/drawing/2014/main" id="{93C9A38D-BDFA-452A-B79A-02FDC4BDE35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818" name="Line 238">
          <a:extLst>
            <a:ext uri="{FF2B5EF4-FFF2-40B4-BE49-F238E27FC236}">
              <a16:creationId xmlns:a16="http://schemas.microsoft.com/office/drawing/2014/main" id="{B883FE79-8768-4CAD-A6A9-FCC594758BA6}"/>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819" name="Line 239">
          <a:extLst>
            <a:ext uri="{FF2B5EF4-FFF2-40B4-BE49-F238E27FC236}">
              <a16:creationId xmlns:a16="http://schemas.microsoft.com/office/drawing/2014/main" id="{03D9D64D-D14D-4E2C-BF82-A47D9DBB4257}"/>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820" name="Line 240">
          <a:extLst>
            <a:ext uri="{FF2B5EF4-FFF2-40B4-BE49-F238E27FC236}">
              <a16:creationId xmlns:a16="http://schemas.microsoft.com/office/drawing/2014/main" id="{7BAA77EF-B10D-4A47-91E4-868DC6E29292}"/>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821" name="Line 241">
          <a:extLst>
            <a:ext uri="{FF2B5EF4-FFF2-40B4-BE49-F238E27FC236}">
              <a16:creationId xmlns:a16="http://schemas.microsoft.com/office/drawing/2014/main" id="{97AEDE72-5C05-4A08-AA08-B65113B0D64B}"/>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822" name="Line 242">
          <a:extLst>
            <a:ext uri="{FF2B5EF4-FFF2-40B4-BE49-F238E27FC236}">
              <a16:creationId xmlns:a16="http://schemas.microsoft.com/office/drawing/2014/main" id="{C2D34FF1-0413-4342-A3AF-B55D3632C734}"/>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23" name="Line 250">
          <a:extLst>
            <a:ext uri="{FF2B5EF4-FFF2-40B4-BE49-F238E27FC236}">
              <a16:creationId xmlns:a16="http://schemas.microsoft.com/office/drawing/2014/main" id="{5CD04DC3-3B81-4507-85B2-9BA4082BF45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24" name="Line 251">
          <a:extLst>
            <a:ext uri="{FF2B5EF4-FFF2-40B4-BE49-F238E27FC236}">
              <a16:creationId xmlns:a16="http://schemas.microsoft.com/office/drawing/2014/main" id="{4AB2E422-C3EC-4CC8-A58D-235557ACBF2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25" name="Line 259">
          <a:extLst>
            <a:ext uri="{FF2B5EF4-FFF2-40B4-BE49-F238E27FC236}">
              <a16:creationId xmlns:a16="http://schemas.microsoft.com/office/drawing/2014/main" id="{25B6F39B-0C7A-47E4-B293-34FB4646829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26" name="Line 260">
          <a:extLst>
            <a:ext uri="{FF2B5EF4-FFF2-40B4-BE49-F238E27FC236}">
              <a16:creationId xmlns:a16="http://schemas.microsoft.com/office/drawing/2014/main" id="{0751E505-4A0E-4B39-891E-6050A306769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27" name="Line 263">
          <a:extLst>
            <a:ext uri="{FF2B5EF4-FFF2-40B4-BE49-F238E27FC236}">
              <a16:creationId xmlns:a16="http://schemas.microsoft.com/office/drawing/2014/main" id="{CE5F46E0-7DE8-4A50-912A-B32AE227E2E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28" name="Line 264">
          <a:extLst>
            <a:ext uri="{FF2B5EF4-FFF2-40B4-BE49-F238E27FC236}">
              <a16:creationId xmlns:a16="http://schemas.microsoft.com/office/drawing/2014/main" id="{8710E472-308E-47E3-9186-ED1D2B0B241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29" name="Line 266">
          <a:extLst>
            <a:ext uri="{FF2B5EF4-FFF2-40B4-BE49-F238E27FC236}">
              <a16:creationId xmlns:a16="http://schemas.microsoft.com/office/drawing/2014/main" id="{47ED5138-DC3F-4A17-992D-C3304CF3D1D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30" name="Line 267">
          <a:extLst>
            <a:ext uri="{FF2B5EF4-FFF2-40B4-BE49-F238E27FC236}">
              <a16:creationId xmlns:a16="http://schemas.microsoft.com/office/drawing/2014/main" id="{6611B369-6215-4FEC-A5CC-18279F17B33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31" name="Line 285">
          <a:extLst>
            <a:ext uri="{FF2B5EF4-FFF2-40B4-BE49-F238E27FC236}">
              <a16:creationId xmlns:a16="http://schemas.microsoft.com/office/drawing/2014/main" id="{4E7AAB37-4308-4C5E-A661-E5A45931751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32" name="Line 286">
          <a:extLst>
            <a:ext uri="{FF2B5EF4-FFF2-40B4-BE49-F238E27FC236}">
              <a16:creationId xmlns:a16="http://schemas.microsoft.com/office/drawing/2014/main" id="{76D44D08-A5F4-4CDC-97EA-D7FAFE33596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33" name="Line 288">
          <a:extLst>
            <a:ext uri="{FF2B5EF4-FFF2-40B4-BE49-F238E27FC236}">
              <a16:creationId xmlns:a16="http://schemas.microsoft.com/office/drawing/2014/main" id="{A3F62D68-E389-4886-8F39-B3CA38B2A91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34" name="Line 289">
          <a:extLst>
            <a:ext uri="{FF2B5EF4-FFF2-40B4-BE49-F238E27FC236}">
              <a16:creationId xmlns:a16="http://schemas.microsoft.com/office/drawing/2014/main" id="{9416DC8D-E944-4CF0-B99D-50858378AB8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835" name="Line 293">
          <a:extLst>
            <a:ext uri="{FF2B5EF4-FFF2-40B4-BE49-F238E27FC236}">
              <a16:creationId xmlns:a16="http://schemas.microsoft.com/office/drawing/2014/main" id="{88276794-4CC8-4E7D-A66D-1636ADFF1E76}"/>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36" name="Line 308">
          <a:extLst>
            <a:ext uri="{FF2B5EF4-FFF2-40B4-BE49-F238E27FC236}">
              <a16:creationId xmlns:a16="http://schemas.microsoft.com/office/drawing/2014/main" id="{19C3E549-00EB-47B8-915E-D9D4536CD831}"/>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37" name="Line 309">
          <a:extLst>
            <a:ext uri="{FF2B5EF4-FFF2-40B4-BE49-F238E27FC236}">
              <a16:creationId xmlns:a16="http://schemas.microsoft.com/office/drawing/2014/main" id="{58A13F9E-E616-4CFD-B299-5D7B6B3A4A1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38" name="Line 333">
          <a:extLst>
            <a:ext uri="{FF2B5EF4-FFF2-40B4-BE49-F238E27FC236}">
              <a16:creationId xmlns:a16="http://schemas.microsoft.com/office/drawing/2014/main" id="{30D9CAD1-F076-443C-B6E3-CFDAD583EC3E}"/>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39" name="Line 334">
          <a:extLst>
            <a:ext uri="{FF2B5EF4-FFF2-40B4-BE49-F238E27FC236}">
              <a16:creationId xmlns:a16="http://schemas.microsoft.com/office/drawing/2014/main" id="{B61444DE-03E3-40AC-9AD3-197EDBCF0EC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40" name="Line 340">
          <a:extLst>
            <a:ext uri="{FF2B5EF4-FFF2-40B4-BE49-F238E27FC236}">
              <a16:creationId xmlns:a16="http://schemas.microsoft.com/office/drawing/2014/main" id="{0BED0CE6-C708-41AC-9EC1-A893DDA7E6D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41" name="Line 341">
          <a:extLst>
            <a:ext uri="{FF2B5EF4-FFF2-40B4-BE49-F238E27FC236}">
              <a16:creationId xmlns:a16="http://schemas.microsoft.com/office/drawing/2014/main" id="{6F1F7853-0F66-4436-A837-7A4F833CBBB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842" name="Line 222">
          <a:extLst>
            <a:ext uri="{FF2B5EF4-FFF2-40B4-BE49-F238E27FC236}">
              <a16:creationId xmlns:a16="http://schemas.microsoft.com/office/drawing/2014/main" id="{BA455C88-336F-4E4D-8127-2241EC59AC91}"/>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843" name="Line 223">
          <a:extLst>
            <a:ext uri="{FF2B5EF4-FFF2-40B4-BE49-F238E27FC236}">
              <a16:creationId xmlns:a16="http://schemas.microsoft.com/office/drawing/2014/main" id="{EE68A5E4-1892-4888-845D-9FA864F14C6C}"/>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844" name="Line 224">
          <a:extLst>
            <a:ext uri="{FF2B5EF4-FFF2-40B4-BE49-F238E27FC236}">
              <a16:creationId xmlns:a16="http://schemas.microsoft.com/office/drawing/2014/main" id="{19B9EC3A-6CB9-434F-8B90-EEC241F18450}"/>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45" name="Line 226">
          <a:extLst>
            <a:ext uri="{FF2B5EF4-FFF2-40B4-BE49-F238E27FC236}">
              <a16:creationId xmlns:a16="http://schemas.microsoft.com/office/drawing/2014/main" id="{319EA692-7F3E-4743-8A4F-B9FA896D5A8E}"/>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46" name="Line 227">
          <a:extLst>
            <a:ext uri="{FF2B5EF4-FFF2-40B4-BE49-F238E27FC236}">
              <a16:creationId xmlns:a16="http://schemas.microsoft.com/office/drawing/2014/main" id="{2480BE88-93F5-48C8-A687-F6626354AFF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47" name="Line 229">
          <a:extLst>
            <a:ext uri="{FF2B5EF4-FFF2-40B4-BE49-F238E27FC236}">
              <a16:creationId xmlns:a16="http://schemas.microsoft.com/office/drawing/2014/main" id="{A356B2C3-EFB5-4CC8-B803-7D7CF02C4B3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48" name="Line 230">
          <a:extLst>
            <a:ext uri="{FF2B5EF4-FFF2-40B4-BE49-F238E27FC236}">
              <a16:creationId xmlns:a16="http://schemas.microsoft.com/office/drawing/2014/main" id="{CA789CDB-A588-42CB-860A-CEA47DB2739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49" name="Line 232">
          <a:extLst>
            <a:ext uri="{FF2B5EF4-FFF2-40B4-BE49-F238E27FC236}">
              <a16:creationId xmlns:a16="http://schemas.microsoft.com/office/drawing/2014/main" id="{95303140-F6A0-47B2-9228-6947B53D9CB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50" name="Line 233">
          <a:extLst>
            <a:ext uri="{FF2B5EF4-FFF2-40B4-BE49-F238E27FC236}">
              <a16:creationId xmlns:a16="http://schemas.microsoft.com/office/drawing/2014/main" id="{49393A0D-7C34-4135-90C1-1B09B0E100E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51" name="Line 235">
          <a:extLst>
            <a:ext uri="{FF2B5EF4-FFF2-40B4-BE49-F238E27FC236}">
              <a16:creationId xmlns:a16="http://schemas.microsoft.com/office/drawing/2014/main" id="{AD8BF183-9CCF-4A52-81F6-48FC72081AF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52" name="Line 236">
          <a:extLst>
            <a:ext uri="{FF2B5EF4-FFF2-40B4-BE49-F238E27FC236}">
              <a16:creationId xmlns:a16="http://schemas.microsoft.com/office/drawing/2014/main" id="{A1B0F22E-ECA4-4182-832E-26339A7A98D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853" name="Line 238">
          <a:extLst>
            <a:ext uri="{FF2B5EF4-FFF2-40B4-BE49-F238E27FC236}">
              <a16:creationId xmlns:a16="http://schemas.microsoft.com/office/drawing/2014/main" id="{CA0249A8-F7D2-41B5-B923-5C0CD7D7A80C}"/>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854" name="Line 239">
          <a:extLst>
            <a:ext uri="{FF2B5EF4-FFF2-40B4-BE49-F238E27FC236}">
              <a16:creationId xmlns:a16="http://schemas.microsoft.com/office/drawing/2014/main" id="{7A28F5FA-84F5-4CBC-8F0B-40AF3E96953A}"/>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855" name="Line 240">
          <a:extLst>
            <a:ext uri="{FF2B5EF4-FFF2-40B4-BE49-F238E27FC236}">
              <a16:creationId xmlns:a16="http://schemas.microsoft.com/office/drawing/2014/main" id="{2EC7C657-717C-4095-ABDF-1E52F099A684}"/>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856" name="Line 241">
          <a:extLst>
            <a:ext uri="{FF2B5EF4-FFF2-40B4-BE49-F238E27FC236}">
              <a16:creationId xmlns:a16="http://schemas.microsoft.com/office/drawing/2014/main" id="{94FCEC87-1BFD-499E-81D5-2325A964625B}"/>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857" name="Line 242">
          <a:extLst>
            <a:ext uri="{FF2B5EF4-FFF2-40B4-BE49-F238E27FC236}">
              <a16:creationId xmlns:a16="http://schemas.microsoft.com/office/drawing/2014/main" id="{34D4C30F-8C9D-4B4D-A9E4-F08AD2A3BB8A}"/>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58" name="Line 250">
          <a:extLst>
            <a:ext uri="{FF2B5EF4-FFF2-40B4-BE49-F238E27FC236}">
              <a16:creationId xmlns:a16="http://schemas.microsoft.com/office/drawing/2014/main" id="{A90925EE-DDE4-4FE4-B2E6-328C43A6D6A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59" name="Line 251">
          <a:extLst>
            <a:ext uri="{FF2B5EF4-FFF2-40B4-BE49-F238E27FC236}">
              <a16:creationId xmlns:a16="http://schemas.microsoft.com/office/drawing/2014/main" id="{D634EB36-70A1-41B5-9AEB-EF0E869E679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60" name="Line 259">
          <a:extLst>
            <a:ext uri="{FF2B5EF4-FFF2-40B4-BE49-F238E27FC236}">
              <a16:creationId xmlns:a16="http://schemas.microsoft.com/office/drawing/2014/main" id="{D8C5713B-E07D-4227-B01E-5D274A9055A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61" name="Line 260">
          <a:extLst>
            <a:ext uri="{FF2B5EF4-FFF2-40B4-BE49-F238E27FC236}">
              <a16:creationId xmlns:a16="http://schemas.microsoft.com/office/drawing/2014/main" id="{180E69D2-6907-4336-897A-25A434EC5D7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62" name="Line 263">
          <a:extLst>
            <a:ext uri="{FF2B5EF4-FFF2-40B4-BE49-F238E27FC236}">
              <a16:creationId xmlns:a16="http://schemas.microsoft.com/office/drawing/2014/main" id="{4141916B-9DA0-452A-A110-25CBBB749B0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63" name="Line 264">
          <a:extLst>
            <a:ext uri="{FF2B5EF4-FFF2-40B4-BE49-F238E27FC236}">
              <a16:creationId xmlns:a16="http://schemas.microsoft.com/office/drawing/2014/main" id="{5BABF3F3-DFAB-49B1-88DB-063967EA4A4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864" name="Line 222">
          <a:extLst>
            <a:ext uri="{FF2B5EF4-FFF2-40B4-BE49-F238E27FC236}">
              <a16:creationId xmlns:a16="http://schemas.microsoft.com/office/drawing/2014/main" id="{B639FCE3-9A49-4999-90D3-FD6A51F3A484}"/>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865" name="Line 223">
          <a:extLst>
            <a:ext uri="{FF2B5EF4-FFF2-40B4-BE49-F238E27FC236}">
              <a16:creationId xmlns:a16="http://schemas.microsoft.com/office/drawing/2014/main" id="{8A6426A3-BDFD-4E22-B9BC-053E2DE746DF}"/>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866" name="Line 224">
          <a:extLst>
            <a:ext uri="{FF2B5EF4-FFF2-40B4-BE49-F238E27FC236}">
              <a16:creationId xmlns:a16="http://schemas.microsoft.com/office/drawing/2014/main" id="{D39B2F68-CF93-4236-95FF-F32042DDEE6B}"/>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67" name="Line 226">
          <a:extLst>
            <a:ext uri="{FF2B5EF4-FFF2-40B4-BE49-F238E27FC236}">
              <a16:creationId xmlns:a16="http://schemas.microsoft.com/office/drawing/2014/main" id="{5C2D0148-2CCE-4B02-A3E6-EBA0E0E2BBE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68" name="Line 227">
          <a:extLst>
            <a:ext uri="{FF2B5EF4-FFF2-40B4-BE49-F238E27FC236}">
              <a16:creationId xmlns:a16="http://schemas.microsoft.com/office/drawing/2014/main" id="{03C28ED8-BB95-4938-B890-C9DED665ABB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69" name="Line 229">
          <a:extLst>
            <a:ext uri="{FF2B5EF4-FFF2-40B4-BE49-F238E27FC236}">
              <a16:creationId xmlns:a16="http://schemas.microsoft.com/office/drawing/2014/main" id="{ACF1AC25-BC47-42F7-8844-53AB19B0A72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70" name="Line 230">
          <a:extLst>
            <a:ext uri="{FF2B5EF4-FFF2-40B4-BE49-F238E27FC236}">
              <a16:creationId xmlns:a16="http://schemas.microsoft.com/office/drawing/2014/main" id="{38B2E8A8-3C6A-4489-A20F-C5BC1455023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71" name="Line 232">
          <a:extLst>
            <a:ext uri="{FF2B5EF4-FFF2-40B4-BE49-F238E27FC236}">
              <a16:creationId xmlns:a16="http://schemas.microsoft.com/office/drawing/2014/main" id="{B4659354-54A4-4610-9E97-F8B6F4BCD7A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72" name="Line 233">
          <a:extLst>
            <a:ext uri="{FF2B5EF4-FFF2-40B4-BE49-F238E27FC236}">
              <a16:creationId xmlns:a16="http://schemas.microsoft.com/office/drawing/2014/main" id="{7426D008-FA5D-40C8-98A7-20FD698E9DA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73" name="Line 235">
          <a:extLst>
            <a:ext uri="{FF2B5EF4-FFF2-40B4-BE49-F238E27FC236}">
              <a16:creationId xmlns:a16="http://schemas.microsoft.com/office/drawing/2014/main" id="{CE34A106-0ABD-46FC-A8D1-86225646E1D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74" name="Line 236">
          <a:extLst>
            <a:ext uri="{FF2B5EF4-FFF2-40B4-BE49-F238E27FC236}">
              <a16:creationId xmlns:a16="http://schemas.microsoft.com/office/drawing/2014/main" id="{6DC563A4-7BC4-4382-8C77-05E65FE3FE7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875" name="Line 238">
          <a:extLst>
            <a:ext uri="{FF2B5EF4-FFF2-40B4-BE49-F238E27FC236}">
              <a16:creationId xmlns:a16="http://schemas.microsoft.com/office/drawing/2014/main" id="{7041E734-6ED8-49BB-85D1-FE5595CEF180}"/>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876" name="Line 239">
          <a:extLst>
            <a:ext uri="{FF2B5EF4-FFF2-40B4-BE49-F238E27FC236}">
              <a16:creationId xmlns:a16="http://schemas.microsoft.com/office/drawing/2014/main" id="{498E0AAF-D11D-4D2E-B1AF-E2C246CDBDD7}"/>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877" name="Line 240">
          <a:extLst>
            <a:ext uri="{FF2B5EF4-FFF2-40B4-BE49-F238E27FC236}">
              <a16:creationId xmlns:a16="http://schemas.microsoft.com/office/drawing/2014/main" id="{B803BD40-34CD-48CD-87CD-9DBCF4771B9E}"/>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878" name="Line 241">
          <a:extLst>
            <a:ext uri="{FF2B5EF4-FFF2-40B4-BE49-F238E27FC236}">
              <a16:creationId xmlns:a16="http://schemas.microsoft.com/office/drawing/2014/main" id="{9D0FC918-FF38-4992-B51C-E68681268090}"/>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879" name="Line 242">
          <a:extLst>
            <a:ext uri="{FF2B5EF4-FFF2-40B4-BE49-F238E27FC236}">
              <a16:creationId xmlns:a16="http://schemas.microsoft.com/office/drawing/2014/main" id="{9C481A0D-3874-4A1E-AC39-BE39B0F12CA6}"/>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80" name="Line 250">
          <a:extLst>
            <a:ext uri="{FF2B5EF4-FFF2-40B4-BE49-F238E27FC236}">
              <a16:creationId xmlns:a16="http://schemas.microsoft.com/office/drawing/2014/main" id="{9B5E1573-74D0-4FE8-A5A9-B576C1CEDCFE}"/>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81" name="Line 251">
          <a:extLst>
            <a:ext uri="{FF2B5EF4-FFF2-40B4-BE49-F238E27FC236}">
              <a16:creationId xmlns:a16="http://schemas.microsoft.com/office/drawing/2014/main" id="{21DA260D-4160-43DE-9186-BB733156CC7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82" name="Line 259">
          <a:extLst>
            <a:ext uri="{FF2B5EF4-FFF2-40B4-BE49-F238E27FC236}">
              <a16:creationId xmlns:a16="http://schemas.microsoft.com/office/drawing/2014/main" id="{AAFBB617-6BBC-458D-A1CE-B5AE3F499C8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83" name="Line 260">
          <a:extLst>
            <a:ext uri="{FF2B5EF4-FFF2-40B4-BE49-F238E27FC236}">
              <a16:creationId xmlns:a16="http://schemas.microsoft.com/office/drawing/2014/main" id="{031DA547-0FF8-4BB5-ACD1-CD083FDD68E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84" name="Line 263">
          <a:extLst>
            <a:ext uri="{FF2B5EF4-FFF2-40B4-BE49-F238E27FC236}">
              <a16:creationId xmlns:a16="http://schemas.microsoft.com/office/drawing/2014/main" id="{7160E0E9-5512-4C01-B199-AAB3D9357E1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85" name="Line 264">
          <a:extLst>
            <a:ext uri="{FF2B5EF4-FFF2-40B4-BE49-F238E27FC236}">
              <a16:creationId xmlns:a16="http://schemas.microsoft.com/office/drawing/2014/main" id="{A960F55E-66E7-4B68-81FA-F7F297AD1D5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86" name="Line 266">
          <a:extLst>
            <a:ext uri="{FF2B5EF4-FFF2-40B4-BE49-F238E27FC236}">
              <a16:creationId xmlns:a16="http://schemas.microsoft.com/office/drawing/2014/main" id="{0B6AABDB-1F17-4B30-A114-63504526A1C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87" name="Line 267">
          <a:extLst>
            <a:ext uri="{FF2B5EF4-FFF2-40B4-BE49-F238E27FC236}">
              <a16:creationId xmlns:a16="http://schemas.microsoft.com/office/drawing/2014/main" id="{A503887A-8D50-4154-990E-262535B9804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88" name="Line 285">
          <a:extLst>
            <a:ext uri="{FF2B5EF4-FFF2-40B4-BE49-F238E27FC236}">
              <a16:creationId xmlns:a16="http://schemas.microsoft.com/office/drawing/2014/main" id="{4734E257-D6E9-4EDD-BB59-A94B21FD11C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89" name="Line 286">
          <a:extLst>
            <a:ext uri="{FF2B5EF4-FFF2-40B4-BE49-F238E27FC236}">
              <a16:creationId xmlns:a16="http://schemas.microsoft.com/office/drawing/2014/main" id="{D77E7A0F-1E18-44FE-AE14-7B1A26160A7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90" name="Line 288">
          <a:extLst>
            <a:ext uri="{FF2B5EF4-FFF2-40B4-BE49-F238E27FC236}">
              <a16:creationId xmlns:a16="http://schemas.microsoft.com/office/drawing/2014/main" id="{2612FEA1-F4A5-4397-B65B-EFA903BE2F2E}"/>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891" name="Line 289">
          <a:extLst>
            <a:ext uri="{FF2B5EF4-FFF2-40B4-BE49-F238E27FC236}">
              <a16:creationId xmlns:a16="http://schemas.microsoft.com/office/drawing/2014/main" id="{CBEB9031-B0B9-4302-AAE4-38A5C9A0234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892" name="Line 293">
          <a:extLst>
            <a:ext uri="{FF2B5EF4-FFF2-40B4-BE49-F238E27FC236}">
              <a16:creationId xmlns:a16="http://schemas.microsoft.com/office/drawing/2014/main" id="{140599BF-3602-49BA-9CA8-AD8C40A720FE}"/>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893" name="Line 222">
          <a:extLst>
            <a:ext uri="{FF2B5EF4-FFF2-40B4-BE49-F238E27FC236}">
              <a16:creationId xmlns:a16="http://schemas.microsoft.com/office/drawing/2014/main" id="{8D8A3D46-284A-4672-BABF-813BE8D4C737}"/>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894" name="Line 223">
          <a:extLst>
            <a:ext uri="{FF2B5EF4-FFF2-40B4-BE49-F238E27FC236}">
              <a16:creationId xmlns:a16="http://schemas.microsoft.com/office/drawing/2014/main" id="{E03C9AB4-9EC5-441F-B7DE-31916D1E1A39}"/>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895" name="Line 224">
          <a:extLst>
            <a:ext uri="{FF2B5EF4-FFF2-40B4-BE49-F238E27FC236}">
              <a16:creationId xmlns:a16="http://schemas.microsoft.com/office/drawing/2014/main" id="{36D2FA36-F467-4474-A9F7-85DB677B3F1F}"/>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896" name="Line 222">
          <a:extLst>
            <a:ext uri="{FF2B5EF4-FFF2-40B4-BE49-F238E27FC236}">
              <a16:creationId xmlns:a16="http://schemas.microsoft.com/office/drawing/2014/main" id="{E555D7B8-037F-49C9-98ED-EF87B17052B1}"/>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897" name="Line 223">
          <a:extLst>
            <a:ext uri="{FF2B5EF4-FFF2-40B4-BE49-F238E27FC236}">
              <a16:creationId xmlns:a16="http://schemas.microsoft.com/office/drawing/2014/main" id="{414BCE0D-D7E9-4B85-8B88-294CEF59DF7B}"/>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898" name="Line 224">
          <a:extLst>
            <a:ext uri="{FF2B5EF4-FFF2-40B4-BE49-F238E27FC236}">
              <a16:creationId xmlns:a16="http://schemas.microsoft.com/office/drawing/2014/main" id="{2225F196-E234-4130-9140-15D607910D3E}"/>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899" name="Line 226">
          <a:extLst>
            <a:ext uri="{FF2B5EF4-FFF2-40B4-BE49-F238E27FC236}">
              <a16:creationId xmlns:a16="http://schemas.microsoft.com/office/drawing/2014/main" id="{B0474501-0DF9-4EC1-AF6D-3384F71F2EC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00" name="Line 227">
          <a:extLst>
            <a:ext uri="{FF2B5EF4-FFF2-40B4-BE49-F238E27FC236}">
              <a16:creationId xmlns:a16="http://schemas.microsoft.com/office/drawing/2014/main" id="{12BBBA56-6A9F-4419-B752-503AF6763539}"/>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01" name="Line 229">
          <a:extLst>
            <a:ext uri="{FF2B5EF4-FFF2-40B4-BE49-F238E27FC236}">
              <a16:creationId xmlns:a16="http://schemas.microsoft.com/office/drawing/2014/main" id="{6CE3735F-64A5-4FB1-80F9-46A9C74394A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02" name="Line 230">
          <a:extLst>
            <a:ext uri="{FF2B5EF4-FFF2-40B4-BE49-F238E27FC236}">
              <a16:creationId xmlns:a16="http://schemas.microsoft.com/office/drawing/2014/main" id="{E3A4A35F-EA72-440B-A00F-0689879AD2D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03" name="Line 232">
          <a:extLst>
            <a:ext uri="{FF2B5EF4-FFF2-40B4-BE49-F238E27FC236}">
              <a16:creationId xmlns:a16="http://schemas.microsoft.com/office/drawing/2014/main" id="{833D81AB-3A16-49C3-A221-20C0B02FB99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04" name="Line 233">
          <a:extLst>
            <a:ext uri="{FF2B5EF4-FFF2-40B4-BE49-F238E27FC236}">
              <a16:creationId xmlns:a16="http://schemas.microsoft.com/office/drawing/2014/main" id="{99B43A01-986B-494A-997C-D64E067888C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05" name="Line 235">
          <a:extLst>
            <a:ext uri="{FF2B5EF4-FFF2-40B4-BE49-F238E27FC236}">
              <a16:creationId xmlns:a16="http://schemas.microsoft.com/office/drawing/2014/main" id="{C1E6E631-38C4-4D9A-89FD-C1E1EEFB7F4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06" name="Line 236">
          <a:extLst>
            <a:ext uri="{FF2B5EF4-FFF2-40B4-BE49-F238E27FC236}">
              <a16:creationId xmlns:a16="http://schemas.microsoft.com/office/drawing/2014/main" id="{14846143-329A-458F-91B4-F127F84D7AB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907" name="Line 238">
          <a:extLst>
            <a:ext uri="{FF2B5EF4-FFF2-40B4-BE49-F238E27FC236}">
              <a16:creationId xmlns:a16="http://schemas.microsoft.com/office/drawing/2014/main" id="{02F78860-8A0B-44C3-AB8B-89C8C7B5EF24}"/>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908" name="Line 239">
          <a:extLst>
            <a:ext uri="{FF2B5EF4-FFF2-40B4-BE49-F238E27FC236}">
              <a16:creationId xmlns:a16="http://schemas.microsoft.com/office/drawing/2014/main" id="{E790F815-F23E-4BFC-8E2A-6AF99948C10E}"/>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909" name="Line 240">
          <a:extLst>
            <a:ext uri="{FF2B5EF4-FFF2-40B4-BE49-F238E27FC236}">
              <a16:creationId xmlns:a16="http://schemas.microsoft.com/office/drawing/2014/main" id="{C0EEC912-7451-40F4-820E-6A75CCA21FF8}"/>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910" name="Line 241">
          <a:extLst>
            <a:ext uri="{FF2B5EF4-FFF2-40B4-BE49-F238E27FC236}">
              <a16:creationId xmlns:a16="http://schemas.microsoft.com/office/drawing/2014/main" id="{5E493385-E6F6-4D5F-B5C6-09FD2965F558}"/>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911" name="Line 242">
          <a:extLst>
            <a:ext uri="{FF2B5EF4-FFF2-40B4-BE49-F238E27FC236}">
              <a16:creationId xmlns:a16="http://schemas.microsoft.com/office/drawing/2014/main" id="{4B72CC7A-6F16-49EF-A386-FE21D19101AE}"/>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12" name="Line 250">
          <a:extLst>
            <a:ext uri="{FF2B5EF4-FFF2-40B4-BE49-F238E27FC236}">
              <a16:creationId xmlns:a16="http://schemas.microsoft.com/office/drawing/2014/main" id="{2579DB62-634F-4207-90DE-F032ECE9369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13" name="Line 251">
          <a:extLst>
            <a:ext uri="{FF2B5EF4-FFF2-40B4-BE49-F238E27FC236}">
              <a16:creationId xmlns:a16="http://schemas.microsoft.com/office/drawing/2014/main" id="{95C1C0AB-33B3-4243-9ED2-36A140FBF14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14" name="Line 259">
          <a:extLst>
            <a:ext uri="{FF2B5EF4-FFF2-40B4-BE49-F238E27FC236}">
              <a16:creationId xmlns:a16="http://schemas.microsoft.com/office/drawing/2014/main" id="{3B79E477-39B1-4348-AEDE-0F086A203E3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15" name="Line 260">
          <a:extLst>
            <a:ext uri="{FF2B5EF4-FFF2-40B4-BE49-F238E27FC236}">
              <a16:creationId xmlns:a16="http://schemas.microsoft.com/office/drawing/2014/main" id="{2F78202A-0618-4B6A-8388-69126474935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16" name="Line 263">
          <a:extLst>
            <a:ext uri="{FF2B5EF4-FFF2-40B4-BE49-F238E27FC236}">
              <a16:creationId xmlns:a16="http://schemas.microsoft.com/office/drawing/2014/main" id="{B9B9AC52-842F-47AE-B21C-F57EB0B36D9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17" name="Line 264">
          <a:extLst>
            <a:ext uri="{FF2B5EF4-FFF2-40B4-BE49-F238E27FC236}">
              <a16:creationId xmlns:a16="http://schemas.microsoft.com/office/drawing/2014/main" id="{59C0FD18-3E70-441E-8BB1-5A0147D8597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918" name="Line 222">
          <a:extLst>
            <a:ext uri="{FF2B5EF4-FFF2-40B4-BE49-F238E27FC236}">
              <a16:creationId xmlns:a16="http://schemas.microsoft.com/office/drawing/2014/main" id="{1BBBBF58-31D2-4EB6-B845-1A9791514BF1}"/>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919" name="Line 223">
          <a:extLst>
            <a:ext uri="{FF2B5EF4-FFF2-40B4-BE49-F238E27FC236}">
              <a16:creationId xmlns:a16="http://schemas.microsoft.com/office/drawing/2014/main" id="{1EBBBDDE-0F7D-4B16-A295-8C995B6AA10D}"/>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920" name="Line 224">
          <a:extLst>
            <a:ext uri="{FF2B5EF4-FFF2-40B4-BE49-F238E27FC236}">
              <a16:creationId xmlns:a16="http://schemas.microsoft.com/office/drawing/2014/main" id="{490E93AC-7787-434B-B03F-C170D2A10A7B}"/>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21" name="Line 226">
          <a:extLst>
            <a:ext uri="{FF2B5EF4-FFF2-40B4-BE49-F238E27FC236}">
              <a16:creationId xmlns:a16="http://schemas.microsoft.com/office/drawing/2014/main" id="{CFDF40DD-2392-449D-9C72-31284A33E05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22" name="Line 227">
          <a:extLst>
            <a:ext uri="{FF2B5EF4-FFF2-40B4-BE49-F238E27FC236}">
              <a16:creationId xmlns:a16="http://schemas.microsoft.com/office/drawing/2014/main" id="{6E27DC2A-9327-4029-B96E-725EE32CA8B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23" name="Line 229">
          <a:extLst>
            <a:ext uri="{FF2B5EF4-FFF2-40B4-BE49-F238E27FC236}">
              <a16:creationId xmlns:a16="http://schemas.microsoft.com/office/drawing/2014/main" id="{33EBB2DC-FFA4-4D2C-8395-DBCB6F22AAD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24" name="Line 230">
          <a:extLst>
            <a:ext uri="{FF2B5EF4-FFF2-40B4-BE49-F238E27FC236}">
              <a16:creationId xmlns:a16="http://schemas.microsoft.com/office/drawing/2014/main" id="{A670AD1A-6ECD-495A-B737-024CC2E4397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25" name="Line 232">
          <a:extLst>
            <a:ext uri="{FF2B5EF4-FFF2-40B4-BE49-F238E27FC236}">
              <a16:creationId xmlns:a16="http://schemas.microsoft.com/office/drawing/2014/main" id="{2E3FFBB0-BE5D-4CE7-9EA7-B3A43710EB4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26" name="Line 233">
          <a:extLst>
            <a:ext uri="{FF2B5EF4-FFF2-40B4-BE49-F238E27FC236}">
              <a16:creationId xmlns:a16="http://schemas.microsoft.com/office/drawing/2014/main" id="{92714198-4037-49E7-944B-845730AA5A2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27" name="Line 235">
          <a:extLst>
            <a:ext uri="{FF2B5EF4-FFF2-40B4-BE49-F238E27FC236}">
              <a16:creationId xmlns:a16="http://schemas.microsoft.com/office/drawing/2014/main" id="{21042CFE-14C8-4470-9A05-158CDC8BA4E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28" name="Line 236">
          <a:extLst>
            <a:ext uri="{FF2B5EF4-FFF2-40B4-BE49-F238E27FC236}">
              <a16:creationId xmlns:a16="http://schemas.microsoft.com/office/drawing/2014/main" id="{742EBA28-D10B-4182-ABC3-7C9F55C0C96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929" name="Line 238">
          <a:extLst>
            <a:ext uri="{FF2B5EF4-FFF2-40B4-BE49-F238E27FC236}">
              <a16:creationId xmlns:a16="http://schemas.microsoft.com/office/drawing/2014/main" id="{F295AFF2-EAA1-4646-A11A-AB33A14C3132}"/>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930" name="Line 239">
          <a:extLst>
            <a:ext uri="{FF2B5EF4-FFF2-40B4-BE49-F238E27FC236}">
              <a16:creationId xmlns:a16="http://schemas.microsoft.com/office/drawing/2014/main" id="{5F217A96-B12B-46B6-ACF4-3289E9AC7EEC}"/>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931" name="Line 240">
          <a:extLst>
            <a:ext uri="{FF2B5EF4-FFF2-40B4-BE49-F238E27FC236}">
              <a16:creationId xmlns:a16="http://schemas.microsoft.com/office/drawing/2014/main" id="{827FF908-0E08-41E9-AD1B-7FCBBDFB6DC5}"/>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932" name="Line 241">
          <a:extLst>
            <a:ext uri="{FF2B5EF4-FFF2-40B4-BE49-F238E27FC236}">
              <a16:creationId xmlns:a16="http://schemas.microsoft.com/office/drawing/2014/main" id="{4D38D3B5-E51E-4616-9B83-A0864624E6A5}"/>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933" name="Line 242">
          <a:extLst>
            <a:ext uri="{FF2B5EF4-FFF2-40B4-BE49-F238E27FC236}">
              <a16:creationId xmlns:a16="http://schemas.microsoft.com/office/drawing/2014/main" id="{377479BC-3951-4261-B9B6-2793B907F916}"/>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34" name="Line 250">
          <a:extLst>
            <a:ext uri="{FF2B5EF4-FFF2-40B4-BE49-F238E27FC236}">
              <a16:creationId xmlns:a16="http://schemas.microsoft.com/office/drawing/2014/main" id="{C7365B1B-C210-43C9-A094-9BE97215E5B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35" name="Line 251">
          <a:extLst>
            <a:ext uri="{FF2B5EF4-FFF2-40B4-BE49-F238E27FC236}">
              <a16:creationId xmlns:a16="http://schemas.microsoft.com/office/drawing/2014/main" id="{7140E79C-FF13-4BC0-A814-B2BB3B013A5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36" name="Line 259">
          <a:extLst>
            <a:ext uri="{FF2B5EF4-FFF2-40B4-BE49-F238E27FC236}">
              <a16:creationId xmlns:a16="http://schemas.microsoft.com/office/drawing/2014/main" id="{618707AA-F030-40DA-8405-7CD294F64CB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37" name="Line 260">
          <a:extLst>
            <a:ext uri="{FF2B5EF4-FFF2-40B4-BE49-F238E27FC236}">
              <a16:creationId xmlns:a16="http://schemas.microsoft.com/office/drawing/2014/main" id="{CAA85C44-0875-421D-A196-11C657B8702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38" name="Line 263">
          <a:extLst>
            <a:ext uri="{FF2B5EF4-FFF2-40B4-BE49-F238E27FC236}">
              <a16:creationId xmlns:a16="http://schemas.microsoft.com/office/drawing/2014/main" id="{0A6EE99D-2422-4160-B60C-C863628751A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39" name="Line 264">
          <a:extLst>
            <a:ext uri="{FF2B5EF4-FFF2-40B4-BE49-F238E27FC236}">
              <a16:creationId xmlns:a16="http://schemas.microsoft.com/office/drawing/2014/main" id="{930E6FA6-E75A-4008-8FEF-BDEB869E15D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40" name="Line 266">
          <a:extLst>
            <a:ext uri="{FF2B5EF4-FFF2-40B4-BE49-F238E27FC236}">
              <a16:creationId xmlns:a16="http://schemas.microsoft.com/office/drawing/2014/main" id="{F25F8AE1-E0C4-4D3A-9EAE-C0CF797A2E0E}"/>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41" name="Line 267">
          <a:extLst>
            <a:ext uri="{FF2B5EF4-FFF2-40B4-BE49-F238E27FC236}">
              <a16:creationId xmlns:a16="http://schemas.microsoft.com/office/drawing/2014/main" id="{4B95B0AF-ADFA-4FA6-927E-4A74E3E9FBE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42" name="Line 285">
          <a:extLst>
            <a:ext uri="{FF2B5EF4-FFF2-40B4-BE49-F238E27FC236}">
              <a16:creationId xmlns:a16="http://schemas.microsoft.com/office/drawing/2014/main" id="{5518F693-2F7A-4C9E-BC41-84B3E062055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43" name="Line 286">
          <a:extLst>
            <a:ext uri="{FF2B5EF4-FFF2-40B4-BE49-F238E27FC236}">
              <a16:creationId xmlns:a16="http://schemas.microsoft.com/office/drawing/2014/main" id="{57764F6E-AD19-4589-8CED-18F0A4F5628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44" name="Line 288">
          <a:extLst>
            <a:ext uri="{FF2B5EF4-FFF2-40B4-BE49-F238E27FC236}">
              <a16:creationId xmlns:a16="http://schemas.microsoft.com/office/drawing/2014/main" id="{91154D1F-1887-4D9F-9F5C-0390BD22418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45" name="Line 289">
          <a:extLst>
            <a:ext uri="{FF2B5EF4-FFF2-40B4-BE49-F238E27FC236}">
              <a16:creationId xmlns:a16="http://schemas.microsoft.com/office/drawing/2014/main" id="{F5064988-4145-49E5-A51A-DB6EAEA5ADF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946" name="Line 293">
          <a:extLst>
            <a:ext uri="{FF2B5EF4-FFF2-40B4-BE49-F238E27FC236}">
              <a16:creationId xmlns:a16="http://schemas.microsoft.com/office/drawing/2014/main" id="{484E4727-9752-41F3-856A-2F78E003924D}"/>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47" name="Line 308">
          <a:extLst>
            <a:ext uri="{FF2B5EF4-FFF2-40B4-BE49-F238E27FC236}">
              <a16:creationId xmlns:a16="http://schemas.microsoft.com/office/drawing/2014/main" id="{33679959-54E8-420B-B20A-0192CD3C84C2}"/>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48" name="Line 309">
          <a:extLst>
            <a:ext uri="{FF2B5EF4-FFF2-40B4-BE49-F238E27FC236}">
              <a16:creationId xmlns:a16="http://schemas.microsoft.com/office/drawing/2014/main" id="{A838C8D9-2E3E-4C4F-8CD5-6AB349DC1FA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49" name="Line 333">
          <a:extLst>
            <a:ext uri="{FF2B5EF4-FFF2-40B4-BE49-F238E27FC236}">
              <a16:creationId xmlns:a16="http://schemas.microsoft.com/office/drawing/2014/main" id="{0949DF36-15FB-422D-BB9A-0918BABEA2C8}"/>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50" name="Line 334">
          <a:extLst>
            <a:ext uri="{FF2B5EF4-FFF2-40B4-BE49-F238E27FC236}">
              <a16:creationId xmlns:a16="http://schemas.microsoft.com/office/drawing/2014/main" id="{29E15DB1-4EE9-4EEC-A90F-2565CD16307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51" name="Line 340">
          <a:extLst>
            <a:ext uri="{FF2B5EF4-FFF2-40B4-BE49-F238E27FC236}">
              <a16:creationId xmlns:a16="http://schemas.microsoft.com/office/drawing/2014/main" id="{F89265B6-215C-42B3-B3CF-2593EF9D28DE}"/>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52" name="Line 341">
          <a:extLst>
            <a:ext uri="{FF2B5EF4-FFF2-40B4-BE49-F238E27FC236}">
              <a16:creationId xmlns:a16="http://schemas.microsoft.com/office/drawing/2014/main" id="{0557281F-3E65-4CBE-A111-DEE0617ED17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953" name="Line 222">
          <a:extLst>
            <a:ext uri="{FF2B5EF4-FFF2-40B4-BE49-F238E27FC236}">
              <a16:creationId xmlns:a16="http://schemas.microsoft.com/office/drawing/2014/main" id="{57314D9D-E580-4776-B882-DB3DD65BB758}"/>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954" name="Line 223">
          <a:extLst>
            <a:ext uri="{FF2B5EF4-FFF2-40B4-BE49-F238E27FC236}">
              <a16:creationId xmlns:a16="http://schemas.microsoft.com/office/drawing/2014/main" id="{84E3DEDB-833D-4228-B5D1-B5750DCBFD7B}"/>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955" name="Line 224">
          <a:extLst>
            <a:ext uri="{FF2B5EF4-FFF2-40B4-BE49-F238E27FC236}">
              <a16:creationId xmlns:a16="http://schemas.microsoft.com/office/drawing/2014/main" id="{9B18780C-DA2D-40B9-9FF4-F7377F73D064}"/>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56" name="Line 226">
          <a:extLst>
            <a:ext uri="{FF2B5EF4-FFF2-40B4-BE49-F238E27FC236}">
              <a16:creationId xmlns:a16="http://schemas.microsoft.com/office/drawing/2014/main" id="{7E9F5A43-0A50-4569-A779-A001919EE77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57" name="Line 227">
          <a:extLst>
            <a:ext uri="{FF2B5EF4-FFF2-40B4-BE49-F238E27FC236}">
              <a16:creationId xmlns:a16="http://schemas.microsoft.com/office/drawing/2014/main" id="{9662550A-EFED-473E-8205-7BA75609E74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58" name="Line 229">
          <a:extLst>
            <a:ext uri="{FF2B5EF4-FFF2-40B4-BE49-F238E27FC236}">
              <a16:creationId xmlns:a16="http://schemas.microsoft.com/office/drawing/2014/main" id="{956CD5E4-0D0E-4E54-AF9D-6093C486211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59" name="Line 230">
          <a:extLst>
            <a:ext uri="{FF2B5EF4-FFF2-40B4-BE49-F238E27FC236}">
              <a16:creationId xmlns:a16="http://schemas.microsoft.com/office/drawing/2014/main" id="{68176F60-E17D-4353-9E9A-F5F4E3B305D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60" name="Line 232">
          <a:extLst>
            <a:ext uri="{FF2B5EF4-FFF2-40B4-BE49-F238E27FC236}">
              <a16:creationId xmlns:a16="http://schemas.microsoft.com/office/drawing/2014/main" id="{40F10890-ABDA-4152-AC89-DCC8294F617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61" name="Line 233">
          <a:extLst>
            <a:ext uri="{FF2B5EF4-FFF2-40B4-BE49-F238E27FC236}">
              <a16:creationId xmlns:a16="http://schemas.microsoft.com/office/drawing/2014/main" id="{8BDAF3FA-D54B-438B-A9DE-5412BF699EE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62" name="Line 235">
          <a:extLst>
            <a:ext uri="{FF2B5EF4-FFF2-40B4-BE49-F238E27FC236}">
              <a16:creationId xmlns:a16="http://schemas.microsoft.com/office/drawing/2014/main" id="{0E7FF70A-C968-479A-B196-21781D44779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63" name="Line 236">
          <a:extLst>
            <a:ext uri="{FF2B5EF4-FFF2-40B4-BE49-F238E27FC236}">
              <a16:creationId xmlns:a16="http://schemas.microsoft.com/office/drawing/2014/main" id="{E85C31B9-0BC4-47E5-A16E-A0C05B415B3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964" name="Line 238">
          <a:extLst>
            <a:ext uri="{FF2B5EF4-FFF2-40B4-BE49-F238E27FC236}">
              <a16:creationId xmlns:a16="http://schemas.microsoft.com/office/drawing/2014/main" id="{B58C2B2A-12BE-4CA3-8716-D16965A2704E}"/>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965" name="Line 239">
          <a:extLst>
            <a:ext uri="{FF2B5EF4-FFF2-40B4-BE49-F238E27FC236}">
              <a16:creationId xmlns:a16="http://schemas.microsoft.com/office/drawing/2014/main" id="{6709AECF-A3E4-4E25-ACEF-631F8DE33682}"/>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966" name="Line 240">
          <a:extLst>
            <a:ext uri="{FF2B5EF4-FFF2-40B4-BE49-F238E27FC236}">
              <a16:creationId xmlns:a16="http://schemas.microsoft.com/office/drawing/2014/main" id="{4D3E3E2D-558E-4B83-BDB2-D1041E964EF1}"/>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967" name="Line 241">
          <a:extLst>
            <a:ext uri="{FF2B5EF4-FFF2-40B4-BE49-F238E27FC236}">
              <a16:creationId xmlns:a16="http://schemas.microsoft.com/office/drawing/2014/main" id="{F2D34C12-FEFA-424D-ACA7-E5B762D740ED}"/>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968" name="Line 242">
          <a:extLst>
            <a:ext uri="{FF2B5EF4-FFF2-40B4-BE49-F238E27FC236}">
              <a16:creationId xmlns:a16="http://schemas.microsoft.com/office/drawing/2014/main" id="{342FBC0E-3E9A-45F8-8377-5652D23F9C3D}"/>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69" name="Line 250">
          <a:extLst>
            <a:ext uri="{FF2B5EF4-FFF2-40B4-BE49-F238E27FC236}">
              <a16:creationId xmlns:a16="http://schemas.microsoft.com/office/drawing/2014/main" id="{F9DBFE8B-E8F7-4B4F-82D5-FD8B57701B0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70" name="Line 251">
          <a:extLst>
            <a:ext uri="{FF2B5EF4-FFF2-40B4-BE49-F238E27FC236}">
              <a16:creationId xmlns:a16="http://schemas.microsoft.com/office/drawing/2014/main" id="{36402605-D9EA-4359-85CB-36808CF61D5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71" name="Line 259">
          <a:extLst>
            <a:ext uri="{FF2B5EF4-FFF2-40B4-BE49-F238E27FC236}">
              <a16:creationId xmlns:a16="http://schemas.microsoft.com/office/drawing/2014/main" id="{F2BC6591-8D50-4D05-9BC3-2EB3B4F5B85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72" name="Line 260">
          <a:extLst>
            <a:ext uri="{FF2B5EF4-FFF2-40B4-BE49-F238E27FC236}">
              <a16:creationId xmlns:a16="http://schemas.microsoft.com/office/drawing/2014/main" id="{11A8CB65-177D-4E29-83E6-E8A27EAEC1D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73" name="Line 263">
          <a:extLst>
            <a:ext uri="{FF2B5EF4-FFF2-40B4-BE49-F238E27FC236}">
              <a16:creationId xmlns:a16="http://schemas.microsoft.com/office/drawing/2014/main" id="{24EFD9E5-7BF9-4873-8FE6-968CA18EFEF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74" name="Line 264">
          <a:extLst>
            <a:ext uri="{FF2B5EF4-FFF2-40B4-BE49-F238E27FC236}">
              <a16:creationId xmlns:a16="http://schemas.microsoft.com/office/drawing/2014/main" id="{0F4467A0-9848-40F1-9756-9DB3FE26E53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975" name="Line 222">
          <a:extLst>
            <a:ext uri="{FF2B5EF4-FFF2-40B4-BE49-F238E27FC236}">
              <a16:creationId xmlns:a16="http://schemas.microsoft.com/office/drawing/2014/main" id="{B395FC2B-6443-486E-A9A1-21BA2E9BB409}"/>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976" name="Line 223">
          <a:extLst>
            <a:ext uri="{FF2B5EF4-FFF2-40B4-BE49-F238E27FC236}">
              <a16:creationId xmlns:a16="http://schemas.microsoft.com/office/drawing/2014/main" id="{93330669-D107-4846-BE64-656840BB19F3}"/>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977" name="Line 224">
          <a:extLst>
            <a:ext uri="{FF2B5EF4-FFF2-40B4-BE49-F238E27FC236}">
              <a16:creationId xmlns:a16="http://schemas.microsoft.com/office/drawing/2014/main" id="{46A4DC73-CE05-4A6D-BD5A-3B4ECA7B15E1}"/>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78" name="Line 226">
          <a:extLst>
            <a:ext uri="{FF2B5EF4-FFF2-40B4-BE49-F238E27FC236}">
              <a16:creationId xmlns:a16="http://schemas.microsoft.com/office/drawing/2014/main" id="{18914CF3-2AF3-4C8A-ADE0-C0C64C77F07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79" name="Line 227">
          <a:extLst>
            <a:ext uri="{FF2B5EF4-FFF2-40B4-BE49-F238E27FC236}">
              <a16:creationId xmlns:a16="http://schemas.microsoft.com/office/drawing/2014/main" id="{53664A77-6268-4616-ACA1-AEEB23C5271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80" name="Line 229">
          <a:extLst>
            <a:ext uri="{FF2B5EF4-FFF2-40B4-BE49-F238E27FC236}">
              <a16:creationId xmlns:a16="http://schemas.microsoft.com/office/drawing/2014/main" id="{EAD1EA1D-D6AA-49B9-B5AA-6C924F6612D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81" name="Line 230">
          <a:extLst>
            <a:ext uri="{FF2B5EF4-FFF2-40B4-BE49-F238E27FC236}">
              <a16:creationId xmlns:a16="http://schemas.microsoft.com/office/drawing/2014/main" id="{D1523C1D-C46A-4575-A8F4-53B3FFE2F68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82" name="Line 232">
          <a:extLst>
            <a:ext uri="{FF2B5EF4-FFF2-40B4-BE49-F238E27FC236}">
              <a16:creationId xmlns:a16="http://schemas.microsoft.com/office/drawing/2014/main" id="{A8046133-243C-41F2-8552-C9539546A73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83" name="Line 233">
          <a:extLst>
            <a:ext uri="{FF2B5EF4-FFF2-40B4-BE49-F238E27FC236}">
              <a16:creationId xmlns:a16="http://schemas.microsoft.com/office/drawing/2014/main" id="{4D1C0332-6260-4076-ADFF-B055B1169FD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84" name="Line 235">
          <a:extLst>
            <a:ext uri="{FF2B5EF4-FFF2-40B4-BE49-F238E27FC236}">
              <a16:creationId xmlns:a16="http://schemas.microsoft.com/office/drawing/2014/main" id="{6A647B21-092C-4185-B278-8F908458E30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85" name="Line 236">
          <a:extLst>
            <a:ext uri="{FF2B5EF4-FFF2-40B4-BE49-F238E27FC236}">
              <a16:creationId xmlns:a16="http://schemas.microsoft.com/office/drawing/2014/main" id="{09E02151-4BC3-45B8-8D5B-106CB6E4D3C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986" name="Line 238">
          <a:extLst>
            <a:ext uri="{FF2B5EF4-FFF2-40B4-BE49-F238E27FC236}">
              <a16:creationId xmlns:a16="http://schemas.microsoft.com/office/drawing/2014/main" id="{5159D9A9-F0B8-4EBA-99DD-C00BE8A0595A}"/>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987" name="Line 239">
          <a:extLst>
            <a:ext uri="{FF2B5EF4-FFF2-40B4-BE49-F238E27FC236}">
              <a16:creationId xmlns:a16="http://schemas.microsoft.com/office/drawing/2014/main" id="{2B750DFC-EB6D-4A5C-8723-DE0B4EC5F8D9}"/>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988" name="Line 240">
          <a:extLst>
            <a:ext uri="{FF2B5EF4-FFF2-40B4-BE49-F238E27FC236}">
              <a16:creationId xmlns:a16="http://schemas.microsoft.com/office/drawing/2014/main" id="{A01331B4-49F1-4405-849A-5323F06B7FDE}"/>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989" name="Line 241">
          <a:extLst>
            <a:ext uri="{FF2B5EF4-FFF2-40B4-BE49-F238E27FC236}">
              <a16:creationId xmlns:a16="http://schemas.microsoft.com/office/drawing/2014/main" id="{5216D9EF-923B-4374-9B3F-6A7A0F5DCD42}"/>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990" name="Line 242">
          <a:extLst>
            <a:ext uri="{FF2B5EF4-FFF2-40B4-BE49-F238E27FC236}">
              <a16:creationId xmlns:a16="http://schemas.microsoft.com/office/drawing/2014/main" id="{C64D3384-E10F-4E3C-B1CC-0764709A7815}"/>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91" name="Line 250">
          <a:extLst>
            <a:ext uri="{FF2B5EF4-FFF2-40B4-BE49-F238E27FC236}">
              <a16:creationId xmlns:a16="http://schemas.microsoft.com/office/drawing/2014/main" id="{09F8F6B6-3A0A-4B2D-BD16-602AD0C568F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92" name="Line 251">
          <a:extLst>
            <a:ext uri="{FF2B5EF4-FFF2-40B4-BE49-F238E27FC236}">
              <a16:creationId xmlns:a16="http://schemas.microsoft.com/office/drawing/2014/main" id="{8D66EC7C-9B68-4F78-A272-14430BEE0C5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93" name="Line 259">
          <a:extLst>
            <a:ext uri="{FF2B5EF4-FFF2-40B4-BE49-F238E27FC236}">
              <a16:creationId xmlns:a16="http://schemas.microsoft.com/office/drawing/2014/main" id="{5AF35135-5626-4940-B7F8-50C54BEC6CB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94" name="Line 260">
          <a:extLst>
            <a:ext uri="{FF2B5EF4-FFF2-40B4-BE49-F238E27FC236}">
              <a16:creationId xmlns:a16="http://schemas.microsoft.com/office/drawing/2014/main" id="{6C58E890-0E32-45AE-BC2E-FC2C740EE7F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95" name="Line 263">
          <a:extLst>
            <a:ext uri="{FF2B5EF4-FFF2-40B4-BE49-F238E27FC236}">
              <a16:creationId xmlns:a16="http://schemas.microsoft.com/office/drawing/2014/main" id="{6AED6F3C-9A8B-4AD1-ADDE-6E57DF5F367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96" name="Line 264">
          <a:extLst>
            <a:ext uri="{FF2B5EF4-FFF2-40B4-BE49-F238E27FC236}">
              <a16:creationId xmlns:a16="http://schemas.microsoft.com/office/drawing/2014/main" id="{8A7208BD-35ED-4809-B963-8037508A648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997" name="Line 266">
          <a:extLst>
            <a:ext uri="{FF2B5EF4-FFF2-40B4-BE49-F238E27FC236}">
              <a16:creationId xmlns:a16="http://schemas.microsoft.com/office/drawing/2014/main" id="{C8FE6D20-BDDB-4D54-83C7-D9D8B26E55A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998" name="Line 267">
          <a:extLst>
            <a:ext uri="{FF2B5EF4-FFF2-40B4-BE49-F238E27FC236}">
              <a16:creationId xmlns:a16="http://schemas.microsoft.com/office/drawing/2014/main" id="{750DB2C7-FABA-45BB-916F-054810F9F9D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999" name="Line 222">
          <a:extLst>
            <a:ext uri="{FF2B5EF4-FFF2-40B4-BE49-F238E27FC236}">
              <a16:creationId xmlns:a16="http://schemas.microsoft.com/office/drawing/2014/main" id="{330CA057-6259-41B0-BA25-BFEF58FFAC73}"/>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000" name="Line 223">
          <a:extLst>
            <a:ext uri="{FF2B5EF4-FFF2-40B4-BE49-F238E27FC236}">
              <a16:creationId xmlns:a16="http://schemas.microsoft.com/office/drawing/2014/main" id="{28FD8827-FF8E-4CD4-8ED1-8D90E4A51259}"/>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001" name="Line 224">
          <a:extLst>
            <a:ext uri="{FF2B5EF4-FFF2-40B4-BE49-F238E27FC236}">
              <a16:creationId xmlns:a16="http://schemas.microsoft.com/office/drawing/2014/main" id="{87E0599D-A655-4ECA-9512-EC48233B6AEA}"/>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02" name="Line 226">
          <a:extLst>
            <a:ext uri="{FF2B5EF4-FFF2-40B4-BE49-F238E27FC236}">
              <a16:creationId xmlns:a16="http://schemas.microsoft.com/office/drawing/2014/main" id="{D7E59F49-459A-4597-A40C-8F55F957575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03" name="Line 227">
          <a:extLst>
            <a:ext uri="{FF2B5EF4-FFF2-40B4-BE49-F238E27FC236}">
              <a16:creationId xmlns:a16="http://schemas.microsoft.com/office/drawing/2014/main" id="{AE961B80-460E-4853-9B61-E2502955FD4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04" name="Line 229">
          <a:extLst>
            <a:ext uri="{FF2B5EF4-FFF2-40B4-BE49-F238E27FC236}">
              <a16:creationId xmlns:a16="http://schemas.microsoft.com/office/drawing/2014/main" id="{017C14D5-E1B5-4D81-B6BB-7026C50313A6}"/>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05" name="Line 230">
          <a:extLst>
            <a:ext uri="{FF2B5EF4-FFF2-40B4-BE49-F238E27FC236}">
              <a16:creationId xmlns:a16="http://schemas.microsoft.com/office/drawing/2014/main" id="{2A090B4D-C408-4DEE-B4AF-62505399D9E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06" name="Line 232">
          <a:extLst>
            <a:ext uri="{FF2B5EF4-FFF2-40B4-BE49-F238E27FC236}">
              <a16:creationId xmlns:a16="http://schemas.microsoft.com/office/drawing/2014/main" id="{BFE67425-3859-4DC8-B30A-7CF4A8A505F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07" name="Line 233">
          <a:extLst>
            <a:ext uri="{FF2B5EF4-FFF2-40B4-BE49-F238E27FC236}">
              <a16:creationId xmlns:a16="http://schemas.microsoft.com/office/drawing/2014/main" id="{C47A68AC-21D4-4E13-A6B1-E54997F59CB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08" name="Line 235">
          <a:extLst>
            <a:ext uri="{FF2B5EF4-FFF2-40B4-BE49-F238E27FC236}">
              <a16:creationId xmlns:a16="http://schemas.microsoft.com/office/drawing/2014/main" id="{BE5E9A14-364E-47DC-8D46-AED661F4F87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09" name="Line 236">
          <a:extLst>
            <a:ext uri="{FF2B5EF4-FFF2-40B4-BE49-F238E27FC236}">
              <a16:creationId xmlns:a16="http://schemas.microsoft.com/office/drawing/2014/main" id="{682C8ECE-5E1B-40A0-B9D1-466451977E7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1010" name="Line 238">
          <a:extLst>
            <a:ext uri="{FF2B5EF4-FFF2-40B4-BE49-F238E27FC236}">
              <a16:creationId xmlns:a16="http://schemas.microsoft.com/office/drawing/2014/main" id="{4E004723-71D3-4D37-A742-680E1BED8102}"/>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1011" name="Line 239">
          <a:extLst>
            <a:ext uri="{FF2B5EF4-FFF2-40B4-BE49-F238E27FC236}">
              <a16:creationId xmlns:a16="http://schemas.microsoft.com/office/drawing/2014/main" id="{D9005A5B-8F41-477F-B17C-D6CC5BFCC704}"/>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1012" name="Line 240">
          <a:extLst>
            <a:ext uri="{FF2B5EF4-FFF2-40B4-BE49-F238E27FC236}">
              <a16:creationId xmlns:a16="http://schemas.microsoft.com/office/drawing/2014/main" id="{5926FE3D-EF83-4CC6-BF18-EF22850F803D}"/>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1013" name="Line 241">
          <a:extLst>
            <a:ext uri="{FF2B5EF4-FFF2-40B4-BE49-F238E27FC236}">
              <a16:creationId xmlns:a16="http://schemas.microsoft.com/office/drawing/2014/main" id="{6B0BB4A4-1A30-409C-BE60-C0E1DBD35679}"/>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1014" name="Line 242">
          <a:extLst>
            <a:ext uri="{FF2B5EF4-FFF2-40B4-BE49-F238E27FC236}">
              <a16:creationId xmlns:a16="http://schemas.microsoft.com/office/drawing/2014/main" id="{0E21616E-B234-4B9E-B932-60F7C17FD57A}"/>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15" name="Line 250">
          <a:extLst>
            <a:ext uri="{FF2B5EF4-FFF2-40B4-BE49-F238E27FC236}">
              <a16:creationId xmlns:a16="http://schemas.microsoft.com/office/drawing/2014/main" id="{ACC9E713-4D67-49AA-B302-7A9653CF658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16" name="Line 251">
          <a:extLst>
            <a:ext uri="{FF2B5EF4-FFF2-40B4-BE49-F238E27FC236}">
              <a16:creationId xmlns:a16="http://schemas.microsoft.com/office/drawing/2014/main" id="{E576D6AF-A2CC-483E-9CA9-EA398EADD90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17" name="Line 259">
          <a:extLst>
            <a:ext uri="{FF2B5EF4-FFF2-40B4-BE49-F238E27FC236}">
              <a16:creationId xmlns:a16="http://schemas.microsoft.com/office/drawing/2014/main" id="{A904F0FC-41EC-4974-A84D-06CB1505977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18" name="Line 260">
          <a:extLst>
            <a:ext uri="{FF2B5EF4-FFF2-40B4-BE49-F238E27FC236}">
              <a16:creationId xmlns:a16="http://schemas.microsoft.com/office/drawing/2014/main" id="{7BE778FD-DD4B-4DC9-8573-73E89E32C09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19" name="Line 263">
          <a:extLst>
            <a:ext uri="{FF2B5EF4-FFF2-40B4-BE49-F238E27FC236}">
              <a16:creationId xmlns:a16="http://schemas.microsoft.com/office/drawing/2014/main" id="{569E4D44-81C5-41F3-A636-4370703B508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20" name="Line 264">
          <a:extLst>
            <a:ext uri="{FF2B5EF4-FFF2-40B4-BE49-F238E27FC236}">
              <a16:creationId xmlns:a16="http://schemas.microsoft.com/office/drawing/2014/main" id="{D3AE3E2A-5C3E-463D-AAB3-2D0BAFBAAC7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021" name="Line 222">
          <a:extLst>
            <a:ext uri="{FF2B5EF4-FFF2-40B4-BE49-F238E27FC236}">
              <a16:creationId xmlns:a16="http://schemas.microsoft.com/office/drawing/2014/main" id="{EEED229E-9693-4140-BE55-4426AC28A681}"/>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022" name="Line 223">
          <a:extLst>
            <a:ext uri="{FF2B5EF4-FFF2-40B4-BE49-F238E27FC236}">
              <a16:creationId xmlns:a16="http://schemas.microsoft.com/office/drawing/2014/main" id="{E8302926-2E91-469A-BA25-4409358B5A97}"/>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023" name="Line 224">
          <a:extLst>
            <a:ext uri="{FF2B5EF4-FFF2-40B4-BE49-F238E27FC236}">
              <a16:creationId xmlns:a16="http://schemas.microsoft.com/office/drawing/2014/main" id="{33C15443-BE48-470E-8095-D65D08711315}"/>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24" name="Line 226">
          <a:extLst>
            <a:ext uri="{FF2B5EF4-FFF2-40B4-BE49-F238E27FC236}">
              <a16:creationId xmlns:a16="http://schemas.microsoft.com/office/drawing/2014/main" id="{5612000C-B752-4161-B2F6-350B39A141B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25" name="Line 227">
          <a:extLst>
            <a:ext uri="{FF2B5EF4-FFF2-40B4-BE49-F238E27FC236}">
              <a16:creationId xmlns:a16="http://schemas.microsoft.com/office/drawing/2014/main" id="{F7DB5852-B295-469F-A22E-7484C19D354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26" name="Line 229">
          <a:extLst>
            <a:ext uri="{FF2B5EF4-FFF2-40B4-BE49-F238E27FC236}">
              <a16:creationId xmlns:a16="http://schemas.microsoft.com/office/drawing/2014/main" id="{DA398222-B90E-469B-97AD-74246E3E86D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27" name="Line 230">
          <a:extLst>
            <a:ext uri="{FF2B5EF4-FFF2-40B4-BE49-F238E27FC236}">
              <a16:creationId xmlns:a16="http://schemas.microsoft.com/office/drawing/2014/main" id="{BCA64B1A-3723-45C0-B5D0-2C040E8A7E9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28" name="Line 232">
          <a:extLst>
            <a:ext uri="{FF2B5EF4-FFF2-40B4-BE49-F238E27FC236}">
              <a16:creationId xmlns:a16="http://schemas.microsoft.com/office/drawing/2014/main" id="{DA3CA54F-9557-40F6-9100-977C45271C0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29" name="Line 233">
          <a:extLst>
            <a:ext uri="{FF2B5EF4-FFF2-40B4-BE49-F238E27FC236}">
              <a16:creationId xmlns:a16="http://schemas.microsoft.com/office/drawing/2014/main" id="{CD647873-2E73-4A54-8216-B5AACB7D762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30" name="Line 235">
          <a:extLst>
            <a:ext uri="{FF2B5EF4-FFF2-40B4-BE49-F238E27FC236}">
              <a16:creationId xmlns:a16="http://schemas.microsoft.com/office/drawing/2014/main" id="{87393267-397F-406C-A5EA-7E0D583DF4D6}"/>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31" name="Line 236">
          <a:extLst>
            <a:ext uri="{FF2B5EF4-FFF2-40B4-BE49-F238E27FC236}">
              <a16:creationId xmlns:a16="http://schemas.microsoft.com/office/drawing/2014/main" id="{2A1F829F-7D00-4F55-B7E8-E24151FBD9A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1032" name="Line 238">
          <a:extLst>
            <a:ext uri="{FF2B5EF4-FFF2-40B4-BE49-F238E27FC236}">
              <a16:creationId xmlns:a16="http://schemas.microsoft.com/office/drawing/2014/main" id="{AB81838A-CF94-477B-9AC7-3DD8A8D78687}"/>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1033" name="Line 239">
          <a:extLst>
            <a:ext uri="{FF2B5EF4-FFF2-40B4-BE49-F238E27FC236}">
              <a16:creationId xmlns:a16="http://schemas.microsoft.com/office/drawing/2014/main" id="{6451ED20-C5AC-4E8F-A92C-9A0EAE4413A3}"/>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1034" name="Line 240">
          <a:extLst>
            <a:ext uri="{FF2B5EF4-FFF2-40B4-BE49-F238E27FC236}">
              <a16:creationId xmlns:a16="http://schemas.microsoft.com/office/drawing/2014/main" id="{6C516545-1051-4BC5-BEC8-6B4C3B1D528F}"/>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1035" name="Line 241">
          <a:extLst>
            <a:ext uri="{FF2B5EF4-FFF2-40B4-BE49-F238E27FC236}">
              <a16:creationId xmlns:a16="http://schemas.microsoft.com/office/drawing/2014/main" id="{BB0CA7F0-3506-4886-9EC8-8161C5817BF6}"/>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1036" name="Line 242">
          <a:extLst>
            <a:ext uri="{FF2B5EF4-FFF2-40B4-BE49-F238E27FC236}">
              <a16:creationId xmlns:a16="http://schemas.microsoft.com/office/drawing/2014/main" id="{E5359E8A-3554-4644-89F5-B586D5C68BE6}"/>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37" name="Line 250">
          <a:extLst>
            <a:ext uri="{FF2B5EF4-FFF2-40B4-BE49-F238E27FC236}">
              <a16:creationId xmlns:a16="http://schemas.microsoft.com/office/drawing/2014/main" id="{CA35B9CA-F929-442B-96DD-85960858431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38" name="Line 251">
          <a:extLst>
            <a:ext uri="{FF2B5EF4-FFF2-40B4-BE49-F238E27FC236}">
              <a16:creationId xmlns:a16="http://schemas.microsoft.com/office/drawing/2014/main" id="{0F09E31E-C430-467D-99CE-504BB7EA6A9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39" name="Line 259">
          <a:extLst>
            <a:ext uri="{FF2B5EF4-FFF2-40B4-BE49-F238E27FC236}">
              <a16:creationId xmlns:a16="http://schemas.microsoft.com/office/drawing/2014/main" id="{D4F8702A-B973-4EEB-B41E-C2A340B6E08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40" name="Line 260">
          <a:extLst>
            <a:ext uri="{FF2B5EF4-FFF2-40B4-BE49-F238E27FC236}">
              <a16:creationId xmlns:a16="http://schemas.microsoft.com/office/drawing/2014/main" id="{5706C0D8-E888-4C6B-91B9-7CA282BB5CF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41" name="Line 263">
          <a:extLst>
            <a:ext uri="{FF2B5EF4-FFF2-40B4-BE49-F238E27FC236}">
              <a16:creationId xmlns:a16="http://schemas.microsoft.com/office/drawing/2014/main" id="{1E24373E-2626-4862-A923-87A77008D2C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42" name="Line 264">
          <a:extLst>
            <a:ext uri="{FF2B5EF4-FFF2-40B4-BE49-F238E27FC236}">
              <a16:creationId xmlns:a16="http://schemas.microsoft.com/office/drawing/2014/main" id="{F3EF033B-CE39-496D-9A9B-AEB1C2DD68C9}"/>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43" name="Line 266">
          <a:extLst>
            <a:ext uri="{FF2B5EF4-FFF2-40B4-BE49-F238E27FC236}">
              <a16:creationId xmlns:a16="http://schemas.microsoft.com/office/drawing/2014/main" id="{06FCFEA9-C7E6-4ED2-BA8D-141D61860DE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44" name="Line 267">
          <a:extLst>
            <a:ext uri="{FF2B5EF4-FFF2-40B4-BE49-F238E27FC236}">
              <a16:creationId xmlns:a16="http://schemas.microsoft.com/office/drawing/2014/main" id="{0C5F0D38-E6D2-44A5-996E-FCF81A9B940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45" name="Line 285">
          <a:extLst>
            <a:ext uri="{FF2B5EF4-FFF2-40B4-BE49-F238E27FC236}">
              <a16:creationId xmlns:a16="http://schemas.microsoft.com/office/drawing/2014/main" id="{3B29CEC1-685E-4A27-9728-1E3FD26ACC4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46" name="Line 286">
          <a:extLst>
            <a:ext uri="{FF2B5EF4-FFF2-40B4-BE49-F238E27FC236}">
              <a16:creationId xmlns:a16="http://schemas.microsoft.com/office/drawing/2014/main" id="{D0249D81-C33B-487A-9729-289427190E8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47" name="Line 288">
          <a:extLst>
            <a:ext uri="{FF2B5EF4-FFF2-40B4-BE49-F238E27FC236}">
              <a16:creationId xmlns:a16="http://schemas.microsoft.com/office/drawing/2014/main" id="{7CB6E445-FD4E-4FA9-8C35-4DF78E0BAD2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48" name="Line 289">
          <a:extLst>
            <a:ext uri="{FF2B5EF4-FFF2-40B4-BE49-F238E27FC236}">
              <a16:creationId xmlns:a16="http://schemas.microsoft.com/office/drawing/2014/main" id="{DAE5E909-2435-44FA-B271-A21B34318F8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49" name="Line 308">
          <a:extLst>
            <a:ext uri="{FF2B5EF4-FFF2-40B4-BE49-F238E27FC236}">
              <a16:creationId xmlns:a16="http://schemas.microsoft.com/office/drawing/2014/main" id="{92B821F2-99A8-4B6A-B236-3A7FD0F737B8}"/>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50" name="Line 309">
          <a:extLst>
            <a:ext uri="{FF2B5EF4-FFF2-40B4-BE49-F238E27FC236}">
              <a16:creationId xmlns:a16="http://schemas.microsoft.com/office/drawing/2014/main" id="{73E6DEC4-E445-49DA-AEBA-B44EE37009A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51" name="Line 333">
          <a:extLst>
            <a:ext uri="{FF2B5EF4-FFF2-40B4-BE49-F238E27FC236}">
              <a16:creationId xmlns:a16="http://schemas.microsoft.com/office/drawing/2014/main" id="{0138FDFE-84CA-47C2-B271-DDA5BB00F879}"/>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52" name="Line 334">
          <a:extLst>
            <a:ext uri="{FF2B5EF4-FFF2-40B4-BE49-F238E27FC236}">
              <a16:creationId xmlns:a16="http://schemas.microsoft.com/office/drawing/2014/main" id="{7ED9905D-5F2B-4A10-8B3F-3E6F93F3B34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53" name="Line 340">
          <a:extLst>
            <a:ext uri="{FF2B5EF4-FFF2-40B4-BE49-F238E27FC236}">
              <a16:creationId xmlns:a16="http://schemas.microsoft.com/office/drawing/2014/main" id="{49313B09-B9E8-4472-83DA-99E482D03F8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54" name="Line 341">
          <a:extLst>
            <a:ext uri="{FF2B5EF4-FFF2-40B4-BE49-F238E27FC236}">
              <a16:creationId xmlns:a16="http://schemas.microsoft.com/office/drawing/2014/main" id="{7FADEF44-8507-47FC-B84B-04CEDE4EB8C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323850</xdr:colOff>
      <xdr:row>0</xdr:row>
      <xdr:rowOff>209550</xdr:rowOff>
    </xdr:from>
    <xdr:to>
      <xdr:col>2</xdr:col>
      <xdr:colOff>447675</xdr:colOff>
      <xdr:row>0</xdr:row>
      <xdr:rowOff>209550</xdr:rowOff>
    </xdr:to>
    <xdr:sp macro="" textlink="">
      <xdr:nvSpPr>
        <xdr:cNvPr id="1055" name="Line 248">
          <a:extLst>
            <a:ext uri="{FF2B5EF4-FFF2-40B4-BE49-F238E27FC236}">
              <a16:creationId xmlns:a16="http://schemas.microsoft.com/office/drawing/2014/main" id="{0E57ABF8-2A39-4C15-9EBA-9C664C6BC800}"/>
            </a:ext>
          </a:extLst>
        </xdr:cNvPr>
        <xdr:cNvSpPr>
          <a:spLocks noChangeShapeType="1"/>
        </xdr:cNvSpPr>
      </xdr:nvSpPr>
      <xdr:spPr bwMode="auto">
        <a:xfrm>
          <a:off x="6610350" y="209550"/>
          <a:ext cx="1238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323850</xdr:colOff>
      <xdr:row>0</xdr:row>
      <xdr:rowOff>209550</xdr:rowOff>
    </xdr:from>
    <xdr:to>
      <xdr:col>2</xdr:col>
      <xdr:colOff>438150</xdr:colOff>
      <xdr:row>0</xdr:row>
      <xdr:rowOff>209550</xdr:rowOff>
    </xdr:to>
    <xdr:sp macro="" textlink="">
      <xdr:nvSpPr>
        <xdr:cNvPr id="1056" name="Line 248">
          <a:extLst>
            <a:ext uri="{FF2B5EF4-FFF2-40B4-BE49-F238E27FC236}">
              <a16:creationId xmlns:a16="http://schemas.microsoft.com/office/drawing/2014/main" id="{C7610233-625D-4E91-B19F-5AFEAF40DD11}"/>
            </a:ext>
          </a:extLst>
        </xdr:cNvPr>
        <xdr:cNvSpPr>
          <a:spLocks noChangeShapeType="1"/>
        </xdr:cNvSpPr>
      </xdr:nvSpPr>
      <xdr:spPr bwMode="auto">
        <a:xfrm flipH="1">
          <a:off x="6610350" y="209550"/>
          <a:ext cx="1143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57" name="Line 340">
          <a:extLst>
            <a:ext uri="{FF2B5EF4-FFF2-40B4-BE49-F238E27FC236}">
              <a16:creationId xmlns:a16="http://schemas.microsoft.com/office/drawing/2014/main" id="{DBA13272-BF00-41F9-A139-91AC4838F01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58" name="Line 341">
          <a:extLst>
            <a:ext uri="{FF2B5EF4-FFF2-40B4-BE49-F238E27FC236}">
              <a16:creationId xmlns:a16="http://schemas.microsoft.com/office/drawing/2014/main" id="{527887D5-81CA-4660-96F5-3A1B24AF7FE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59" name="Line 340">
          <a:extLst>
            <a:ext uri="{FF2B5EF4-FFF2-40B4-BE49-F238E27FC236}">
              <a16:creationId xmlns:a16="http://schemas.microsoft.com/office/drawing/2014/main" id="{13B54258-03B0-455D-B7C8-A2EE2B97C45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60" name="Line 341">
          <a:extLst>
            <a:ext uri="{FF2B5EF4-FFF2-40B4-BE49-F238E27FC236}">
              <a16:creationId xmlns:a16="http://schemas.microsoft.com/office/drawing/2014/main" id="{234907B4-18FB-4377-A7DD-C18D7D9F704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61" name="Line 340">
          <a:extLst>
            <a:ext uri="{FF2B5EF4-FFF2-40B4-BE49-F238E27FC236}">
              <a16:creationId xmlns:a16="http://schemas.microsoft.com/office/drawing/2014/main" id="{5EFAA7F7-1F69-4E96-BED5-ECFD2582129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62" name="Line 341">
          <a:extLst>
            <a:ext uri="{FF2B5EF4-FFF2-40B4-BE49-F238E27FC236}">
              <a16:creationId xmlns:a16="http://schemas.microsoft.com/office/drawing/2014/main" id="{B66AEEBC-D8B1-49AC-9FBD-25EFE9B78D9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63" name="Line 333">
          <a:extLst>
            <a:ext uri="{FF2B5EF4-FFF2-40B4-BE49-F238E27FC236}">
              <a16:creationId xmlns:a16="http://schemas.microsoft.com/office/drawing/2014/main" id="{851D228F-0034-4F15-89A3-B31ACC6903E4}"/>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64" name="Line 334">
          <a:extLst>
            <a:ext uri="{FF2B5EF4-FFF2-40B4-BE49-F238E27FC236}">
              <a16:creationId xmlns:a16="http://schemas.microsoft.com/office/drawing/2014/main" id="{3C001ABB-01AA-4B7D-950F-DBB653AA58E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65" name="Line 333">
          <a:extLst>
            <a:ext uri="{FF2B5EF4-FFF2-40B4-BE49-F238E27FC236}">
              <a16:creationId xmlns:a16="http://schemas.microsoft.com/office/drawing/2014/main" id="{ADA6B0E2-A787-40A7-8BA2-93540B7A3224}"/>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66" name="Line 334">
          <a:extLst>
            <a:ext uri="{FF2B5EF4-FFF2-40B4-BE49-F238E27FC236}">
              <a16:creationId xmlns:a16="http://schemas.microsoft.com/office/drawing/2014/main" id="{5E19C581-DD0C-4958-84EA-4CB1F0E83C5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67" name="Line 333">
          <a:extLst>
            <a:ext uri="{FF2B5EF4-FFF2-40B4-BE49-F238E27FC236}">
              <a16:creationId xmlns:a16="http://schemas.microsoft.com/office/drawing/2014/main" id="{E39D6170-34D0-4E07-A59F-389B790AF151}"/>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68" name="Line 334">
          <a:extLst>
            <a:ext uri="{FF2B5EF4-FFF2-40B4-BE49-F238E27FC236}">
              <a16:creationId xmlns:a16="http://schemas.microsoft.com/office/drawing/2014/main" id="{B56AE4C4-E390-44FE-8A88-2D48A3CB4D4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069" name="Line 222">
          <a:extLst>
            <a:ext uri="{FF2B5EF4-FFF2-40B4-BE49-F238E27FC236}">
              <a16:creationId xmlns:a16="http://schemas.microsoft.com/office/drawing/2014/main" id="{F0CA099A-1BDB-4436-BD98-AD576DD98D4A}"/>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070" name="Line 223">
          <a:extLst>
            <a:ext uri="{FF2B5EF4-FFF2-40B4-BE49-F238E27FC236}">
              <a16:creationId xmlns:a16="http://schemas.microsoft.com/office/drawing/2014/main" id="{32286929-33F9-40DF-8275-FD9E3BA0DCD2}"/>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071" name="Line 224">
          <a:extLst>
            <a:ext uri="{FF2B5EF4-FFF2-40B4-BE49-F238E27FC236}">
              <a16:creationId xmlns:a16="http://schemas.microsoft.com/office/drawing/2014/main" id="{FE1E68A7-F6D6-4F51-B3C0-25698B8E3876}"/>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72" name="Line 226">
          <a:extLst>
            <a:ext uri="{FF2B5EF4-FFF2-40B4-BE49-F238E27FC236}">
              <a16:creationId xmlns:a16="http://schemas.microsoft.com/office/drawing/2014/main" id="{18283E49-52D2-404B-B707-F7550E30630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73" name="Line 227">
          <a:extLst>
            <a:ext uri="{FF2B5EF4-FFF2-40B4-BE49-F238E27FC236}">
              <a16:creationId xmlns:a16="http://schemas.microsoft.com/office/drawing/2014/main" id="{1F17C725-919E-4D21-B97B-D78D914B3BD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74" name="Line 229">
          <a:extLst>
            <a:ext uri="{FF2B5EF4-FFF2-40B4-BE49-F238E27FC236}">
              <a16:creationId xmlns:a16="http://schemas.microsoft.com/office/drawing/2014/main" id="{076C51AB-4FED-41D5-B650-B1672F6E5E1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075" name="Line 222">
          <a:extLst>
            <a:ext uri="{FF2B5EF4-FFF2-40B4-BE49-F238E27FC236}">
              <a16:creationId xmlns:a16="http://schemas.microsoft.com/office/drawing/2014/main" id="{4DEF3E96-A7C7-443B-9EBA-03D5B959A547}"/>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076" name="Line 223">
          <a:extLst>
            <a:ext uri="{FF2B5EF4-FFF2-40B4-BE49-F238E27FC236}">
              <a16:creationId xmlns:a16="http://schemas.microsoft.com/office/drawing/2014/main" id="{46847881-36DD-4C8D-AA8C-1755B4CD8D78}"/>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077" name="Line 224">
          <a:extLst>
            <a:ext uri="{FF2B5EF4-FFF2-40B4-BE49-F238E27FC236}">
              <a16:creationId xmlns:a16="http://schemas.microsoft.com/office/drawing/2014/main" id="{D0BFAC91-3E09-4945-A749-D4BED6A787C3}"/>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78" name="Line 226">
          <a:extLst>
            <a:ext uri="{FF2B5EF4-FFF2-40B4-BE49-F238E27FC236}">
              <a16:creationId xmlns:a16="http://schemas.microsoft.com/office/drawing/2014/main" id="{6A28D5B7-215E-4044-A80C-ABC49712E06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79" name="Line 227">
          <a:extLst>
            <a:ext uri="{FF2B5EF4-FFF2-40B4-BE49-F238E27FC236}">
              <a16:creationId xmlns:a16="http://schemas.microsoft.com/office/drawing/2014/main" id="{7A01385B-E957-47C6-9FB0-B2F1A4AEDFA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80" name="Line 229">
          <a:extLst>
            <a:ext uri="{FF2B5EF4-FFF2-40B4-BE49-F238E27FC236}">
              <a16:creationId xmlns:a16="http://schemas.microsoft.com/office/drawing/2014/main" id="{7D5E7E7B-AC6A-4E2D-B9D8-1706E13356AE}"/>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81" name="Line 230">
          <a:extLst>
            <a:ext uri="{FF2B5EF4-FFF2-40B4-BE49-F238E27FC236}">
              <a16:creationId xmlns:a16="http://schemas.microsoft.com/office/drawing/2014/main" id="{9E84BC23-9C85-43EC-9E49-A8F7FD2CEC4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82" name="Line 232">
          <a:extLst>
            <a:ext uri="{FF2B5EF4-FFF2-40B4-BE49-F238E27FC236}">
              <a16:creationId xmlns:a16="http://schemas.microsoft.com/office/drawing/2014/main" id="{2CAEE232-ABA2-4CD4-90BC-99A15FE5DFA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83" name="Line 233">
          <a:extLst>
            <a:ext uri="{FF2B5EF4-FFF2-40B4-BE49-F238E27FC236}">
              <a16:creationId xmlns:a16="http://schemas.microsoft.com/office/drawing/2014/main" id="{3B08B976-5CFB-440F-9373-CA24A71BBDC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84" name="Line 235">
          <a:extLst>
            <a:ext uri="{FF2B5EF4-FFF2-40B4-BE49-F238E27FC236}">
              <a16:creationId xmlns:a16="http://schemas.microsoft.com/office/drawing/2014/main" id="{3707599C-255E-4032-9754-122667552AF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85" name="Line 236">
          <a:extLst>
            <a:ext uri="{FF2B5EF4-FFF2-40B4-BE49-F238E27FC236}">
              <a16:creationId xmlns:a16="http://schemas.microsoft.com/office/drawing/2014/main" id="{6FE10A40-40DB-4224-82E9-648E4629333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1086" name="Line 238">
          <a:extLst>
            <a:ext uri="{FF2B5EF4-FFF2-40B4-BE49-F238E27FC236}">
              <a16:creationId xmlns:a16="http://schemas.microsoft.com/office/drawing/2014/main" id="{B24CA60F-9B21-44C3-B725-5F28731B6E28}"/>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1087" name="Line 239">
          <a:extLst>
            <a:ext uri="{FF2B5EF4-FFF2-40B4-BE49-F238E27FC236}">
              <a16:creationId xmlns:a16="http://schemas.microsoft.com/office/drawing/2014/main" id="{A9ED1AD9-76B7-4741-A559-8384D4AB0F84}"/>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1088" name="Line 240">
          <a:extLst>
            <a:ext uri="{FF2B5EF4-FFF2-40B4-BE49-F238E27FC236}">
              <a16:creationId xmlns:a16="http://schemas.microsoft.com/office/drawing/2014/main" id="{9B40B788-8209-4427-8389-D7E499CC2ABA}"/>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1089" name="Line 241">
          <a:extLst>
            <a:ext uri="{FF2B5EF4-FFF2-40B4-BE49-F238E27FC236}">
              <a16:creationId xmlns:a16="http://schemas.microsoft.com/office/drawing/2014/main" id="{0472BF77-E03E-47DF-9E4F-C25CFABF8EFD}"/>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1090" name="Line 242">
          <a:extLst>
            <a:ext uri="{FF2B5EF4-FFF2-40B4-BE49-F238E27FC236}">
              <a16:creationId xmlns:a16="http://schemas.microsoft.com/office/drawing/2014/main" id="{0DCC1DF9-8CFC-44C5-914D-E85508C43953}"/>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91" name="Line 250">
          <a:extLst>
            <a:ext uri="{FF2B5EF4-FFF2-40B4-BE49-F238E27FC236}">
              <a16:creationId xmlns:a16="http://schemas.microsoft.com/office/drawing/2014/main" id="{0EB83C9B-B657-493A-82CA-BECDB31EE38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92" name="Line 251">
          <a:extLst>
            <a:ext uri="{FF2B5EF4-FFF2-40B4-BE49-F238E27FC236}">
              <a16:creationId xmlns:a16="http://schemas.microsoft.com/office/drawing/2014/main" id="{E2CA7C50-63BD-48B2-B81B-E4B1C16AF57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93" name="Line 259">
          <a:extLst>
            <a:ext uri="{FF2B5EF4-FFF2-40B4-BE49-F238E27FC236}">
              <a16:creationId xmlns:a16="http://schemas.microsoft.com/office/drawing/2014/main" id="{C1C1D599-3DC8-42D3-918C-7FB0405457AE}"/>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94" name="Line 260">
          <a:extLst>
            <a:ext uri="{FF2B5EF4-FFF2-40B4-BE49-F238E27FC236}">
              <a16:creationId xmlns:a16="http://schemas.microsoft.com/office/drawing/2014/main" id="{A59057C8-CAE5-440E-AD70-47BC331230E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095" name="Line 263">
          <a:extLst>
            <a:ext uri="{FF2B5EF4-FFF2-40B4-BE49-F238E27FC236}">
              <a16:creationId xmlns:a16="http://schemas.microsoft.com/office/drawing/2014/main" id="{3447B095-F54F-4CE7-A0F9-4C4FC81C55C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096" name="Line 264">
          <a:extLst>
            <a:ext uri="{FF2B5EF4-FFF2-40B4-BE49-F238E27FC236}">
              <a16:creationId xmlns:a16="http://schemas.microsoft.com/office/drawing/2014/main" id="{F24CB7D7-B250-4BBF-9CB9-FB4556B073E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097" name="Line 222">
          <a:extLst>
            <a:ext uri="{FF2B5EF4-FFF2-40B4-BE49-F238E27FC236}">
              <a16:creationId xmlns:a16="http://schemas.microsoft.com/office/drawing/2014/main" id="{6EE6C751-0856-4219-95F5-F57FFE3F96FB}"/>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098" name="Line 223">
          <a:extLst>
            <a:ext uri="{FF2B5EF4-FFF2-40B4-BE49-F238E27FC236}">
              <a16:creationId xmlns:a16="http://schemas.microsoft.com/office/drawing/2014/main" id="{A83152B8-0F07-4AFC-9639-DE4D6FBFCF6B}"/>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099" name="Line 224">
          <a:extLst>
            <a:ext uri="{FF2B5EF4-FFF2-40B4-BE49-F238E27FC236}">
              <a16:creationId xmlns:a16="http://schemas.microsoft.com/office/drawing/2014/main" id="{35172DA8-A14E-4F0D-B391-9C660268480E}"/>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00" name="Line 226">
          <a:extLst>
            <a:ext uri="{FF2B5EF4-FFF2-40B4-BE49-F238E27FC236}">
              <a16:creationId xmlns:a16="http://schemas.microsoft.com/office/drawing/2014/main" id="{AA6B0734-499B-47BA-B5DC-74B265522DF6}"/>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01" name="Line 227">
          <a:extLst>
            <a:ext uri="{FF2B5EF4-FFF2-40B4-BE49-F238E27FC236}">
              <a16:creationId xmlns:a16="http://schemas.microsoft.com/office/drawing/2014/main" id="{70EA23BA-FD00-4164-B5BF-0D854FD65ED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02" name="Line 229">
          <a:extLst>
            <a:ext uri="{FF2B5EF4-FFF2-40B4-BE49-F238E27FC236}">
              <a16:creationId xmlns:a16="http://schemas.microsoft.com/office/drawing/2014/main" id="{E239341A-8B6C-4D55-8F07-6CB0AFFE4E6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03" name="Line 230">
          <a:extLst>
            <a:ext uri="{FF2B5EF4-FFF2-40B4-BE49-F238E27FC236}">
              <a16:creationId xmlns:a16="http://schemas.microsoft.com/office/drawing/2014/main" id="{FFAFBCBE-42FC-47C6-BC9B-117D632B2CD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04" name="Line 232">
          <a:extLst>
            <a:ext uri="{FF2B5EF4-FFF2-40B4-BE49-F238E27FC236}">
              <a16:creationId xmlns:a16="http://schemas.microsoft.com/office/drawing/2014/main" id="{FD6F03F5-184E-437A-8A18-2A7EDB0DB27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05" name="Line 233">
          <a:extLst>
            <a:ext uri="{FF2B5EF4-FFF2-40B4-BE49-F238E27FC236}">
              <a16:creationId xmlns:a16="http://schemas.microsoft.com/office/drawing/2014/main" id="{7F10EE84-05E5-4BBA-82DB-D7D82B7406B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06" name="Line 235">
          <a:extLst>
            <a:ext uri="{FF2B5EF4-FFF2-40B4-BE49-F238E27FC236}">
              <a16:creationId xmlns:a16="http://schemas.microsoft.com/office/drawing/2014/main" id="{41CD70E0-0390-4745-9F7F-FB687D9B293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07" name="Line 236">
          <a:extLst>
            <a:ext uri="{FF2B5EF4-FFF2-40B4-BE49-F238E27FC236}">
              <a16:creationId xmlns:a16="http://schemas.microsoft.com/office/drawing/2014/main" id="{3A5E7A63-CE4C-4E8C-BE2A-BC63D7E6A57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1108" name="Line 238">
          <a:extLst>
            <a:ext uri="{FF2B5EF4-FFF2-40B4-BE49-F238E27FC236}">
              <a16:creationId xmlns:a16="http://schemas.microsoft.com/office/drawing/2014/main" id="{27A3E1AA-BEEB-411D-9D47-ABDEC36298EA}"/>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1109" name="Line 239">
          <a:extLst>
            <a:ext uri="{FF2B5EF4-FFF2-40B4-BE49-F238E27FC236}">
              <a16:creationId xmlns:a16="http://schemas.microsoft.com/office/drawing/2014/main" id="{99083AD4-8928-4F45-9B61-EAAB8262E570}"/>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1110" name="Line 240">
          <a:extLst>
            <a:ext uri="{FF2B5EF4-FFF2-40B4-BE49-F238E27FC236}">
              <a16:creationId xmlns:a16="http://schemas.microsoft.com/office/drawing/2014/main" id="{9C850EC8-816C-45F0-BF53-C1AC70EAA6AC}"/>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1111" name="Line 241">
          <a:extLst>
            <a:ext uri="{FF2B5EF4-FFF2-40B4-BE49-F238E27FC236}">
              <a16:creationId xmlns:a16="http://schemas.microsoft.com/office/drawing/2014/main" id="{B5AAAD60-F78A-49A2-A30A-D697715476DE}"/>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1112" name="Line 242">
          <a:extLst>
            <a:ext uri="{FF2B5EF4-FFF2-40B4-BE49-F238E27FC236}">
              <a16:creationId xmlns:a16="http://schemas.microsoft.com/office/drawing/2014/main" id="{BA4709B0-4846-4EA9-B48F-427B9BCB34D9}"/>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13" name="Line 250">
          <a:extLst>
            <a:ext uri="{FF2B5EF4-FFF2-40B4-BE49-F238E27FC236}">
              <a16:creationId xmlns:a16="http://schemas.microsoft.com/office/drawing/2014/main" id="{FE97D1B8-8BFF-4921-A014-D2DE0F16C45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14" name="Line 251">
          <a:extLst>
            <a:ext uri="{FF2B5EF4-FFF2-40B4-BE49-F238E27FC236}">
              <a16:creationId xmlns:a16="http://schemas.microsoft.com/office/drawing/2014/main" id="{26DA88E4-7610-422E-9704-0D91D36C700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15" name="Line 259">
          <a:extLst>
            <a:ext uri="{FF2B5EF4-FFF2-40B4-BE49-F238E27FC236}">
              <a16:creationId xmlns:a16="http://schemas.microsoft.com/office/drawing/2014/main" id="{7E6B1842-A192-4F8B-B3B9-BE4C8C4C1AD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16" name="Line 260">
          <a:extLst>
            <a:ext uri="{FF2B5EF4-FFF2-40B4-BE49-F238E27FC236}">
              <a16:creationId xmlns:a16="http://schemas.microsoft.com/office/drawing/2014/main" id="{F5975A1D-9553-4E0D-BC01-FD775830CBA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17" name="Line 263">
          <a:extLst>
            <a:ext uri="{FF2B5EF4-FFF2-40B4-BE49-F238E27FC236}">
              <a16:creationId xmlns:a16="http://schemas.microsoft.com/office/drawing/2014/main" id="{9125E88B-200C-484B-B109-47EC2C86E68E}"/>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18" name="Line 264">
          <a:extLst>
            <a:ext uri="{FF2B5EF4-FFF2-40B4-BE49-F238E27FC236}">
              <a16:creationId xmlns:a16="http://schemas.microsoft.com/office/drawing/2014/main" id="{5932B0CE-6FA2-4079-9251-C34B74A18C4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19" name="Line 266">
          <a:extLst>
            <a:ext uri="{FF2B5EF4-FFF2-40B4-BE49-F238E27FC236}">
              <a16:creationId xmlns:a16="http://schemas.microsoft.com/office/drawing/2014/main" id="{02CC8B28-3B93-410B-86AC-DADC6A32D31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20" name="Line 267">
          <a:extLst>
            <a:ext uri="{FF2B5EF4-FFF2-40B4-BE49-F238E27FC236}">
              <a16:creationId xmlns:a16="http://schemas.microsoft.com/office/drawing/2014/main" id="{CE7D2FA2-0301-44F4-A888-EE69CC1B3D6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21" name="Line 285">
          <a:extLst>
            <a:ext uri="{FF2B5EF4-FFF2-40B4-BE49-F238E27FC236}">
              <a16:creationId xmlns:a16="http://schemas.microsoft.com/office/drawing/2014/main" id="{BB00B668-2ADC-4535-AB37-70572A386A6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22" name="Line 286">
          <a:extLst>
            <a:ext uri="{FF2B5EF4-FFF2-40B4-BE49-F238E27FC236}">
              <a16:creationId xmlns:a16="http://schemas.microsoft.com/office/drawing/2014/main" id="{E54615BB-6949-4CEE-9F6C-6D8551205489}"/>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23" name="Line 288">
          <a:extLst>
            <a:ext uri="{FF2B5EF4-FFF2-40B4-BE49-F238E27FC236}">
              <a16:creationId xmlns:a16="http://schemas.microsoft.com/office/drawing/2014/main" id="{7D8B5960-7577-44D3-8C71-33A71CD86A66}"/>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24" name="Line 289">
          <a:extLst>
            <a:ext uri="{FF2B5EF4-FFF2-40B4-BE49-F238E27FC236}">
              <a16:creationId xmlns:a16="http://schemas.microsoft.com/office/drawing/2014/main" id="{61C61857-69CC-4C65-AC13-9C6AF5FD4C0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125" name="Line 293">
          <a:extLst>
            <a:ext uri="{FF2B5EF4-FFF2-40B4-BE49-F238E27FC236}">
              <a16:creationId xmlns:a16="http://schemas.microsoft.com/office/drawing/2014/main" id="{8884F375-18E5-49E1-BDCE-824CA5A1363A}"/>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26" name="Line 308">
          <a:extLst>
            <a:ext uri="{FF2B5EF4-FFF2-40B4-BE49-F238E27FC236}">
              <a16:creationId xmlns:a16="http://schemas.microsoft.com/office/drawing/2014/main" id="{12A4460A-EEDF-492C-9A2A-62A8F473C0CC}"/>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27" name="Line 309">
          <a:extLst>
            <a:ext uri="{FF2B5EF4-FFF2-40B4-BE49-F238E27FC236}">
              <a16:creationId xmlns:a16="http://schemas.microsoft.com/office/drawing/2014/main" id="{3F326AD6-104A-4F71-8E05-E5C13AB0350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28" name="Line 333">
          <a:extLst>
            <a:ext uri="{FF2B5EF4-FFF2-40B4-BE49-F238E27FC236}">
              <a16:creationId xmlns:a16="http://schemas.microsoft.com/office/drawing/2014/main" id="{CB72766A-5DE5-4C49-9159-F0C55E0458BE}"/>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29" name="Line 334">
          <a:extLst>
            <a:ext uri="{FF2B5EF4-FFF2-40B4-BE49-F238E27FC236}">
              <a16:creationId xmlns:a16="http://schemas.microsoft.com/office/drawing/2014/main" id="{DE1C979B-ED17-4B70-95AF-DE6883D7D8F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30" name="Line 340">
          <a:extLst>
            <a:ext uri="{FF2B5EF4-FFF2-40B4-BE49-F238E27FC236}">
              <a16:creationId xmlns:a16="http://schemas.microsoft.com/office/drawing/2014/main" id="{DC28F002-1F24-46AE-89B6-BB975D2E823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31" name="Line 341">
          <a:extLst>
            <a:ext uri="{FF2B5EF4-FFF2-40B4-BE49-F238E27FC236}">
              <a16:creationId xmlns:a16="http://schemas.microsoft.com/office/drawing/2014/main" id="{92A329ED-6012-4D92-9619-657F12EE8B1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132" name="Line 222">
          <a:extLst>
            <a:ext uri="{FF2B5EF4-FFF2-40B4-BE49-F238E27FC236}">
              <a16:creationId xmlns:a16="http://schemas.microsoft.com/office/drawing/2014/main" id="{A31C571C-254A-4112-9003-CA61F2393F3B}"/>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133" name="Line 223">
          <a:extLst>
            <a:ext uri="{FF2B5EF4-FFF2-40B4-BE49-F238E27FC236}">
              <a16:creationId xmlns:a16="http://schemas.microsoft.com/office/drawing/2014/main" id="{5E4F84C0-AFF9-4F97-B2AA-895B74C11B13}"/>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134" name="Line 224">
          <a:extLst>
            <a:ext uri="{FF2B5EF4-FFF2-40B4-BE49-F238E27FC236}">
              <a16:creationId xmlns:a16="http://schemas.microsoft.com/office/drawing/2014/main" id="{CF2914A2-BFE9-4DBF-A298-E6C95B6B44FC}"/>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135" name="Line 222">
          <a:extLst>
            <a:ext uri="{FF2B5EF4-FFF2-40B4-BE49-F238E27FC236}">
              <a16:creationId xmlns:a16="http://schemas.microsoft.com/office/drawing/2014/main" id="{D74F746D-1483-4481-99EA-8DE494709AC1}"/>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136" name="Line 223">
          <a:extLst>
            <a:ext uri="{FF2B5EF4-FFF2-40B4-BE49-F238E27FC236}">
              <a16:creationId xmlns:a16="http://schemas.microsoft.com/office/drawing/2014/main" id="{2072C097-872B-485E-9626-8E27F3E163A4}"/>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137" name="Line 224">
          <a:extLst>
            <a:ext uri="{FF2B5EF4-FFF2-40B4-BE49-F238E27FC236}">
              <a16:creationId xmlns:a16="http://schemas.microsoft.com/office/drawing/2014/main" id="{4AC03388-6A51-4806-BD2E-16BCDD0C23F0}"/>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38" name="Line 226">
          <a:extLst>
            <a:ext uri="{FF2B5EF4-FFF2-40B4-BE49-F238E27FC236}">
              <a16:creationId xmlns:a16="http://schemas.microsoft.com/office/drawing/2014/main" id="{5EDD7471-7B25-470F-A71B-A92BC6D0F56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39" name="Line 227">
          <a:extLst>
            <a:ext uri="{FF2B5EF4-FFF2-40B4-BE49-F238E27FC236}">
              <a16:creationId xmlns:a16="http://schemas.microsoft.com/office/drawing/2014/main" id="{F1251FB0-EFBA-431F-8263-0DEA3BC587E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40" name="Line 229">
          <a:extLst>
            <a:ext uri="{FF2B5EF4-FFF2-40B4-BE49-F238E27FC236}">
              <a16:creationId xmlns:a16="http://schemas.microsoft.com/office/drawing/2014/main" id="{DD7FE2D8-1DDC-4227-8C07-2164ECA2DFF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41" name="Line 230">
          <a:extLst>
            <a:ext uri="{FF2B5EF4-FFF2-40B4-BE49-F238E27FC236}">
              <a16:creationId xmlns:a16="http://schemas.microsoft.com/office/drawing/2014/main" id="{A7A25591-A59F-4AB8-A360-10AB03954DC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42" name="Line 232">
          <a:extLst>
            <a:ext uri="{FF2B5EF4-FFF2-40B4-BE49-F238E27FC236}">
              <a16:creationId xmlns:a16="http://schemas.microsoft.com/office/drawing/2014/main" id="{5326A639-516F-4A48-8447-5B8AFA6425A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43" name="Line 233">
          <a:extLst>
            <a:ext uri="{FF2B5EF4-FFF2-40B4-BE49-F238E27FC236}">
              <a16:creationId xmlns:a16="http://schemas.microsoft.com/office/drawing/2014/main" id="{72101A4F-30C0-4A17-A528-4E8858D13D2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44" name="Line 235">
          <a:extLst>
            <a:ext uri="{FF2B5EF4-FFF2-40B4-BE49-F238E27FC236}">
              <a16:creationId xmlns:a16="http://schemas.microsoft.com/office/drawing/2014/main" id="{A7692E6E-5159-46BC-890D-5FDA5F2C7C9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45" name="Line 236">
          <a:extLst>
            <a:ext uri="{FF2B5EF4-FFF2-40B4-BE49-F238E27FC236}">
              <a16:creationId xmlns:a16="http://schemas.microsoft.com/office/drawing/2014/main" id="{F2CC7FF6-FCC1-40A7-876E-533B29BFE4D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1146" name="Line 238">
          <a:extLst>
            <a:ext uri="{FF2B5EF4-FFF2-40B4-BE49-F238E27FC236}">
              <a16:creationId xmlns:a16="http://schemas.microsoft.com/office/drawing/2014/main" id="{16037A6F-695B-402A-91B1-D07FF9626621}"/>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1147" name="Line 239">
          <a:extLst>
            <a:ext uri="{FF2B5EF4-FFF2-40B4-BE49-F238E27FC236}">
              <a16:creationId xmlns:a16="http://schemas.microsoft.com/office/drawing/2014/main" id="{A454001A-3B6E-42CC-9745-6FC84FA2F7D3}"/>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1148" name="Line 240">
          <a:extLst>
            <a:ext uri="{FF2B5EF4-FFF2-40B4-BE49-F238E27FC236}">
              <a16:creationId xmlns:a16="http://schemas.microsoft.com/office/drawing/2014/main" id="{8BBB86F4-ED8C-4A5B-AD5B-025E6C81BC01}"/>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1149" name="Line 241">
          <a:extLst>
            <a:ext uri="{FF2B5EF4-FFF2-40B4-BE49-F238E27FC236}">
              <a16:creationId xmlns:a16="http://schemas.microsoft.com/office/drawing/2014/main" id="{087B66CF-8CBA-4F3F-86DE-F897E0C320C0}"/>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1150" name="Line 242">
          <a:extLst>
            <a:ext uri="{FF2B5EF4-FFF2-40B4-BE49-F238E27FC236}">
              <a16:creationId xmlns:a16="http://schemas.microsoft.com/office/drawing/2014/main" id="{9315125F-1BC6-4917-872F-7EEAC40F6A07}"/>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51" name="Line 250">
          <a:extLst>
            <a:ext uri="{FF2B5EF4-FFF2-40B4-BE49-F238E27FC236}">
              <a16:creationId xmlns:a16="http://schemas.microsoft.com/office/drawing/2014/main" id="{FA471224-5419-4C88-BA6B-6D942BE0859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52" name="Line 251">
          <a:extLst>
            <a:ext uri="{FF2B5EF4-FFF2-40B4-BE49-F238E27FC236}">
              <a16:creationId xmlns:a16="http://schemas.microsoft.com/office/drawing/2014/main" id="{211C39D8-DCAE-4030-91AC-605AD1D7DA2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53" name="Line 259">
          <a:extLst>
            <a:ext uri="{FF2B5EF4-FFF2-40B4-BE49-F238E27FC236}">
              <a16:creationId xmlns:a16="http://schemas.microsoft.com/office/drawing/2014/main" id="{58A97109-996B-403B-A743-C4BE4574F9C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54" name="Line 260">
          <a:extLst>
            <a:ext uri="{FF2B5EF4-FFF2-40B4-BE49-F238E27FC236}">
              <a16:creationId xmlns:a16="http://schemas.microsoft.com/office/drawing/2014/main" id="{4F80B859-CA70-44D6-960F-19ACCF3F5EC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55" name="Line 263">
          <a:extLst>
            <a:ext uri="{FF2B5EF4-FFF2-40B4-BE49-F238E27FC236}">
              <a16:creationId xmlns:a16="http://schemas.microsoft.com/office/drawing/2014/main" id="{A603B05D-5E18-41B1-B00E-D3F2736C1C8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56" name="Line 264">
          <a:extLst>
            <a:ext uri="{FF2B5EF4-FFF2-40B4-BE49-F238E27FC236}">
              <a16:creationId xmlns:a16="http://schemas.microsoft.com/office/drawing/2014/main" id="{C56A9443-C93E-40AE-BA42-26850772EB7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157" name="Line 222">
          <a:extLst>
            <a:ext uri="{FF2B5EF4-FFF2-40B4-BE49-F238E27FC236}">
              <a16:creationId xmlns:a16="http://schemas.microsoft.com/office/drawing/2014/main" id="{1FA7BF4A-5C83-420A-9478-5905E2ED52B7}"/>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158" name="Line 223">
          <a:extLst>
            <a:ext uri="{FF2B5EF4-FFF2-40B4-BE49-F238E27FC236}">
              <a16:creationId xmlns:a16="http://schemas.microsoft.com/office/drawing/2014/main" id="{97E7D683-B21F-4C59-A3DB-5F906A3C272B}"/>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159" name="Line 224">
          <a:extLst>
            <a:ext uri="{FF2B5EF4-FFF2-40B4-BE49-F238E27FC236}">
              <a16:creationId xmlns:a16="http://schemas.microsoft.com/office/drawing/2014/main" id="{32402478-34B5-4BC9-9C79-D92D85CF0E75}"/>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60" name="Line 226">
          <a:extLst>
            <a:ext uri="{FF2B5EF4-FFF2-40B4-BE49-F238E27FC236}">
              <a16:creationId xmlns:a16="http://schemas.microsoft.com/office/drawing/2014/main" id="{51749162-AC8B-46B1-8E5E-4B8EAE10566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61" name="Line 227">
          <a:extLst>
            <a:ext uri="{FF2B5EF4-FFF2-40B4-BE49-F238E27FC236}">
              <a16:creationId xmlns:a16="http://schemas.microsoft.com/office/drawing/2014/main" id="{C1F74B77-F721-4C03-B045-B0804445A9D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62" name="Line 229">
          <a:extLst>
            <a:ext uri="{FF2B5EF4-FFF2-40B4-BE49-F238E27FC236}">
              <a16:creationId xmlns:a16="http://schemas.microsoft.com/office/drawing/2014/main" id="{A39E63E9-51EE-4728-B15C-E6DF5219321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63" name="Line 230">
          <a:extLst>
            <a:ext uri="{FF2B5EF4-FFF2-40B4-BE49-F238E27FC236}">
              <a16:creationId xmlns:a16="http://schemas.microsoft.com/office/drawing/2014/main" id="{223A8B56-EA1D-459A-9B23-F04E424E3AE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64" name="Line 232">
          <a:extLst>
            <a:ext uri="{FF2B5EF4-FFF2-40B4-BE49-F238E27FC236}">
              <a16:creationId xmlns:a16="http://schemas.microsoft.com/office/drawing/2014/main" id="{9A956A86-B62D-4135-B1CD-D79E16DF735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65" name="Line 233">
          <a:extLst>
            <a:ext uri="{FF2B5EF4-FFF2-40B4-BE49-F238E27FC236}">
              <a16:creationId xmlns:a16="http://schemas.microsoft.com/office/drawing/2014/main" id="{EBF2CA53-F383-458B-8475-92C28D7BE9A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66" name="Line 235">
          <a:extLst>
            <a:ext uri="{FF2B5EF4-FFF2-40B4-BE49-F238E27FC236}">
              <a16:creationId xmlns:a16="http://schemas.microsoft.com/office/drawing/2014/main" id="{5943D390-D4A3-485D-9D50-2BA8C7ECAA6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67" name="Line 236">
          <a:extLst>
            <a:ext uri="{FF2B5EF4-FFF2-40B4-BE49-F238E27FC236}">
              <a16:creationId xmlns:a16="http://schemas.microsoft.com/office/drawing/2014/main" id="{B592387D-4B46-41F1-9E3B-FD6776A27AC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1168" name="Line 238">
          <a:extLst>
            <a:ext uri="{FF2B5EF4-FFF2-40B4-BE49-F238E27FC236}">
              <a16:creationId xmlns:a16="http://schemas.microsoft.com/office/drawing/2014/main" id="{E8CC719B-6B45-4349-8C3B-5D88BBC1B2EF}"/>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1169" name="Line 239">
          <a:extLst>
            <a:ext uri="{FF2B5EF4-FFF2-40B4-BE49-F238E27FC236}">
              <a16:creationId xmlns:a16="http://schemas.microsoft.com/office/drawing/2014/main" id="{CCBAE632-FD3E-4BA5-A009-5A66D5CD0CEF}"/>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1170" name="Line 240">
          <a:extLst>
            <a:ext uri="{FF2B5EF4-FFF2-40B4-BE49-F238E27FC236}">
              <a16:creationId xmlns:a16="http://schemas.microsoft.com/office/drawing/2014/main" id="{D2E1FFC2-1354-4984-9695-EE1B3E5E26B9}"/>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1171" name="Line 241">
          <a:extLst>
            <a:ext uri="{FF2B5EF4-FFF2-40B4-BE49-F238E27FC236}">
              <a16:creationId xmlns:a16="http://schemas.microsoft.com/office/drawing/2014/main" id="{096EF54A-ABFF-4B31-B367-8430CA35B44B}"/>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1172" name="Line 242">
          <a:extLst>
            <a:ext uri="{FF2B5EF4-FFF2-40B4-BE49-F238E27FC236}">
              <a16:creationId xmlns:a16="http://schemas.microsoft.com/office/drawing/2014/main" id="{0742AC43-496E-461A-9471-4BBB46C365C7}"/>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73" name="Line 250">
          <a:extLst>
            <a:ext uri="{FF2B5EF4-FFF2-40B4-BE49-F238E27FC236}">
              <a16:creationId xmlns:a16="http://schemas.microsoft.com/office/drawing/2014/main" id="{D92E9BAF-F13D-479E-9B21-F15F9DCC552E}"/>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74" name="Line 251">
          <a:extLst>
            <a:ext uri="{FF2B5EF4-FFF2-40B4-BE49-F238E27FC236}">
              <a16:creationId xmlns:a16="http://schemas.microsoft.com/office/drawing/2014/main" id="{5ED87973-4396-4FE8-9639-A165550C71D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75" name="Line 259">
          <a:extLst>
            <a:ext uri="{FF2B5EF4-FFF2-40B4-BE49-F238E27FC236}">
              <a16:creationId xmlns:a16="http://schemas.microsoft.com/office/drawing/2014/main" id="{DB53FE9F-8106-44D0-883F-34F95B74AEC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76" name="Line 260">
          <a:extLst>
            <a:ext uri="{FF2B5EF4-FFF2-40B4-BE49-F238E27FC236}">
              <a16:creationId xmlns:a16="http://schemas.microsoft.com/office/drawing/2014/main" id="{E0CEE8C0-D9B1-49E2-8723-BFACD8C72E4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77" name="Line 263">
          <a:extLst>
            <a:ext uri="{FF2B5EF4-FFF2-40B4-BE49-F238E27FC236}">
              <a16:creationId xmlns:a16="http://schemas.microsoft.com/office/drawing/2014/main" id="{3D1B2435-5CA8-4D38-B974-17CA3CECE6E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78" name="Line 264">
          <a:extLst>
            <a:ext uri="{FF2B5EF4-FFF2-40B4-BE49-F238E27FC236}">
              <a16:creationId xmlns:a16="http://schemas.microsoft.com/office/drawing/2014/main" id="{9ED4B83B-7E01-42CA-B358-09A437DDD47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79" name="Line 266">
          <a:extLst>
            <a:ext uri="{FF2B5EF4-FFF2-40B4-BE49-F238E27FC236}">
              <a16:creationId xmlns:a16="http://schemas.microsoft.com/office/drawing/2014/main" id="{89705F6A-551C-4A9A-8AC8-A67A9DE4E00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80" name="Line 267">
          <a:extLst>
            <a:ext uri="{FF2B5EF4-FFF2-40B4-BE49-F238E27FC236}">
              <a16:creationId xmlns:a16="http://schemas.microsoft.com/office/drawing/2014/main" id="{F52ED16D-DFF5-4929-8B0C-88F1B191FF7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81" name="Line 285">
          <a:extLst>
            <a:ext uri="{FF2B5EF4-FFF2-40B4-BE49-F238E27FC236}">
              <a16:creationId xmlns:a16="http://schemas.microsoft.com/office/drawing/2014/main" id="{90B5434D-B33B-4B6A-82B9-803CD65F2EA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82" name="Line 286">
          <a:extLst>
            <a:ext uri="{FF2B5EF4-FFF2-40B4-BE49-F238E27FC236}">
              <a16:creationId xmlns:a16="http://schemas.microsoft.com/office/drawing/2014/main" id="{717FF2FA-893E-44BE-92B9-4B5C5E371E5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83" name="Line 288">
          <a:extLst>
            <a:ext uri="{FF2B5EF4-FFF2-40B4-BE49-F238E27FC236}">
              <a16:creationId xmlns:a16="http://schemas.microsoft.com/office/drawing/2014/main" id="{CF059B4E-0E99-4C3D-9339-1CD92E90603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84" name="Line 289">
          <a:extLst>
            <a:ext uri="{FF2B5EF4-FFF2-40B4-BE49-F238E27FC236}">
              <a16:creationId xmlns:a16="http://schemas.microsoft.com/office/drawing/2014/main" id="{B743273D-4FE9-4AC1-9AA5-D2EBC2D7FDE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185" name="Line 293">
          <a:extLst>
            <a:ext uri="{FF2B5EF4-FFF2-40B4-BE49-F238E27FC236}">
              <a16:creationId xmlns:a16="http://schemas.microsoft.com/office/drawing/2014/main" id="{25F4085B-EF61-44A3-B55A-4774C67E02AB}"/>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86" name="Line 308">
          <a:extLst>
            <a:ext uri="{FF2B5EF4-FFF2-40B4-BE49-F238E27FC236}">
              <a16:creationId xmlns:a16="http://schemas.microsoft.com/office/drawing/2014/main" id="{746663AB-D377-4B24-A08D-1E11B9EB025F}"/>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87" name="Line 309">
          <a:extLst>
            <a:ext uri="{FF2B5EF4-FFF2-40B4-BE49-F238E27FC236}">
              <a16:creationId xmlns:a16="http://schemas.microsoft.com/office/drawing/2014/main" id="{3FC919E6-A0B3-434B-B751-5F785F211E0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88" name="Line 333">
          <a:extLst>
            <a:ext uri="{FF2B5EF4-FFF2-40B4-BE49-F238E27FC236}">
              <a16:creationId xmlns:a16="http://schemas.microsoft.com/office/drawing/2014/main" id="{99F39DAD-2651-4966-B16C-3217D525370A}"/>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89" name="Line 334">
          <a:extLst>
            <a:ext uri="{FF2B5EF4-FFF2-40B4-BE49-F238E27FC236}">
              <a16:creationId xmlns:a16="http://schemas.microsoft.com/office/drawing/2014/main" id="{83549994-31D4-48A5-B958-1ECA5BE6BFC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90" name="Line 340">
          <a:extLst>
            <a:ext uri="{FF2B5EF4-FFF2-40B4-BE49-F238E27FC236}">
              <a16:creationId xmlns:a16="http://schemas.microsoft.com/office/drawing/2014/main" id="{16551F81-8EC0-4FEE-9D45-30BF5E57075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91" name="Line 341">
          <a:extLst>
            <a:ext uri="{FF2B5EF4-FFF2-40B4-BE49-F238E27FC236}">
              <a16:creationId xmlns:a16="http://schemas.microsoft.com/office/drawing/2014/main" id="{57202759-6742-408A-A187-85815409322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192" name="Line 222">
          <a:extLst>
            <a:ext uri="{FF2B5EF4-FFF2-40B4-BE49-F238E27FC236}">
              <a16:creationId xmlns:a16="http://schemas.microsoft.com/office/drawing/2014/main" id="{CB19B84E-5495-40E2-B504-82C6FBA50CE0}"/>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193" name="Line 223">
          <a:extLst>
            <a:ext uri="{FF2B5EF4-FFF2-40B4-BE49-F238E27FC236}">
              <a16:creationId xmlns:a16="http://schemas.microsoft.com/office/drawing/2014/main" id="{FFF4AAB9-BAC4-4F69-8298-423F5E4A4F8D}"/>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194" name="Line 224">
          <a:extLst>
            <a:ext uri="{FF2B5EF4-FFF2-40B4-BE49-F238E27FC236}">
              <a16:creationId xmlns:a16="http://schemas.microsoft.com/office/drawing/2014/main" id="{DA6006E7-1103-4363-A926-4F7529A143C8}"/>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95" name="Line 226">
          <a:extLst>
            <a:ext uri="{FF2B5EF4-FFF2-40B4-BE49-F238E27FC236}">
              <a16:creationId xmlns:a16="http://schemas.microsoft.com/office/drawing/2014/main" id="{8B9F61AD-B90C-452B-9051-B758A25F722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96" name="Line 227">
          <a:extLst>
            <a:ext uri="{FF2B5EF4-FFF2-40B4-BE49-F238E27FC236}">
              <a16:creationId xmlns:a16="http://schemas.microsoft.com/office/drawing/2014/main" id="{DFFD0C9A-AE60-4806-BA66-7C0FC94F104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97" name="Line 229">
          <a:extLst>
            <a:ext uri="{FF2B5EF4-FFF2-40B4-BE49-F238E27FC236}">
              <a16:creationId xmlns:a16="http://schemas.microsoft.com/office/drawing/2014/main" id="{70666F44-B832-44D8-AAB4-07C6E306A10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198" name="Line 230">
          <a:extLst>
            <a:ext uri="{FF2B5EF4-FFF2-40B4-BE49-F238E27FC236}">
              <a16:creationId xmlns:a16="http://schemas.microsoft.com/office/drawing/2014/main" id="{71578A46-2F69-47DD-A19B-E00DCD042CE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199" name="Line 232">
          <a:extLst>
            <a:ext uri="{FF2B5EF4-FFF2-40B4-BE49-F238E27FC236}">
              <a16:creationId xmlns:a16="http://schemas.microsoft.com/office/drawing/2014/main" id="{D82D6854-4D01-4A6B-8971-C7ACE39B341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00" name="Line 233">
          <a:extLst>
            <a:ext uri="{FF2B5EF4-FFF2-40B4-BE49-F238E27FC236}">
              <a16:creationId xmlns:a16="http://schemas.microsoft.com/office/drawing/2014/main" id="{6E4658C0-7119-4614-9BED-79793A08BD4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01" name="Line 235">
          <a:extLst>
            <a:ext uri="{FF2B5EF4-FFF2-40B4-BE49-F238E27FC236}">
              <a16:creationId xmlns:a16="http://schemas.microsoft.com/office/drawing/2014/main" id="{574643A0-A20C-4B05-A8C1-62B2FEED086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02" name="Line 236">
          <a:extLst>
            <a:ext uri="{FF2B5EF4-FFF2-40B4-BE49-F238E27FC236}">
              <a16:creationId xmlns:a16="http://schemas.microsoft.com/office/drawing/2014/main" id="{7D3A804F-1080-43CE-A9E3-FA2DD0F41D0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1203" name="Line 238">
          <a:extLst>
            <a:ext uri="{FF2B5EF4-FFF2-40B4-BE49-F238E27FC236}">
              <a16:creationId xmlns:a16="http://schemas.microsoft.com/office/drawing/2014/main" id="{E5D663D6-CF7C-4DC2-8FFA-547F6A4288AB}"/>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1204" name="Line 239">
          <a:extLst>
            <a:ext uri="{FF2B5EF4-FFF2-40B4-BE49-F238E27FC236}">
              <a16:creationId xmlns:a16="http://schemas.microsoft.com/office/drawing/2014/main" id="{18DE298C-1B03-4AD6-A6AC-45D32F3B12A7}"/>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1205" name="Line 240">
          <a:extLst>
            <a:ext uri="{FF2B5EF4-FFF2-40B4-BE49-F238E27FC236}">
              <a16:creationId xmlns:a16="http://schemas.microsoft.com/office/drawing/2014/main" id="{157D67D7-C716-4088-A7D3-32696BF5259F}"/>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1206" name="Line 241">
          <a:extLst>
            <a:ext uri="{FF2B5EF4-FFF2-40B4-BE49-F238E27FC236}">
              <a16:creationId xmlns:a16="http://schemas.microsoft.com/office/drawing/2014/main" id="{719264D5-454B-462E-8C4D-6E0C7B586659}"/>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1207" name="Line 242">
          <a:extLst>
            <a:ext uri="{FF2B5EF4-FFF2-40B4-BE49-F238E27FC236}">
              <a16:creationId xmlns:a16="http://schemas.microsoft.com/office/drawing/2014/main" id="{8E2F7991-2739-4726-899F-BF3880B96FE7}"/>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08" name="Line 250">
          <a:extLst>
            <a:ext uri="{FF2B5EF4-FFF2-40B4-BE49-F238E27FC236}">
              <a16:creationId xmlns:a16="http://schemas.microsoft.com/office/drawing/2014/main" id="{4DEB942A-04D6-4442-B764-CC936F0C64A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09" name="Line 251">
          <a:extLst>
            <a:ext uri="{FF2B5EF4-FFF2-40B4-BE49-F238E27FC236}">
              <a16:creationId xmlns:a16="http://schemas.microsoft.com/office/drawing/2014/main" id="{3303A97B-BD17-47F1-91C2-7B90FA9D082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10" name="Line 259">
          <a:extLst>
            <a:ext uri="{FF2B5EF4-FFF2-40B4-BE49-F238E27FC236}">
              <a16:creationId xmlns:a16="http://schemas.microsoft.com/office/drawing/2014/main" id="{F66CA8BD-7DC6-4437-900C-CAA121E828B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11" name="Line 260">
          <a:extLst>
            <a:ext uri="{FF2B5EF4-FFF2-40B4-BE49-F238E27FC236}">
              <a16:creationId xmlns:a16="http://schemas.microsoft.com/office/drawing/2014/main" id="{4870B8E7-3CD7-4B1B-9266-1066B70083B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12" name="Line 263">
          <a:extLst>
            <a:ext uri="{FF2B5EF4-FFF2-40B4-BE49-F238E27FC236}">
              <a16:creationId xmlns:a16="http://schemas.microsoft.com/office/drawing/2014/main" id="{9B45058D-199B-4A30-A314-55B01758961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13" name="Line 264">
          <a:extLst>
            <a:ext uri="{FF2B5EF4-FFF2-40B4-BE49-F238E27FC236}">
              <a16:creationId xmlns:a16="http://schemas.microsoft.com/office/drawing/2014/main" id="{6F20AAFE-46D3-4B9C-813B-10839977CD6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214" name="Line 222">
          <a:extLst>
            <a:ext uri="{FF2B5EF4-FFF2-40B4-BE49-F238E27FC236}">
              <a16:creationId xmlns:a16="http://schemas.microsoft.com/office/drawing/2014/main" id="{3883F462-F2A9-488C-B831-E4D2E24BDAFE}"/>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215" name="Line 223">
          <a:extLst>
            <a:ext uri="{FF2B5EF4-FFF2-40B4-BE49-F238E27FC236}">
              <a16:creationId xmlns:a16="http://schemas.microsoft.com/office/drawing/2014/main" id="{6C81229C-B69B-4E83-80AC-C5AC9A8E6034}"/>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216" name="Line 224">
          <a:extLst>
            <a:ext uri="{FF2B5EF4-FFF2-40B4-BE49-F238E27FC236}">
              <a16:creationId xmlns:a16="http://schemas.microsoft.com/office/drawing/2014/main" id="{8AB47EAD-D91B-4AB5-A606-7D73E7D9C731}"/>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17" name="Line 226">
          <a:extLst>
            <a:ext uri="{FF2B5EF4-FFF2-40B4-BE49-F238E27FC236}">
              <a16:creationId xmlns:a16="http://schemas.microsoft.com/office/drawing/2014/main" id="{52123AB9-BF7D-41EA-BD20-F7E99170959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18" name="Line 227">
          <a:extLst>
            <a:ext uri="{FF2B5EF4-FFF2-40B4-BE49-F238E27FC236}">
              <a16:creationId xmlns:a16="http://schemas.microsoft.com/office/drawing/2014/main" id="{5CEED978-A5F1-4F2D-8421-34274A60FC5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19" name="Line 229">
          <a:extLst>
            <a:ext uri="{FF2B5EF4-FFF2-40B4-BE49-F238E27FC236}">
              <a16:creationId xmlns:a16="http://schemas.microsoft.com/office/drawing/2014/main" id="{ACF3A224-9134-4131-82FA-558D596B234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20" name="Line 230">
          <a:extLst>
            <a:ext uri="{FF2B5EF4-FFF2-40B4-BE49-F238E27FC236}">
              <a16:creationId xmlns:a16="http://schemas.microsoft.com/office/drawing/2014/main" id="{8D3BC7B6-38AF-4385-B9DC-7DEA60CA42A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21" name="Line 232">
          <a:extLst>
            <a:ext uri="{FF2B5EF4-FFF2-40B4-BE49-F238E27FC236}">
              <a16:creationId xmlns:a16="http://schemas.microsoft.com/office/drawing/2014/main" id="{E8A61648-8B51-487A-98E1-98CAB294EA4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22" name="Line 233">
          <a:extLst>
            <a:ext uri="{FF2B5EF4-FFF2-40B4-BE49-F238E27FC236}">
              <a16:creationId xmlns:a16="http://schemas.microsoft.com/office/drawing/2014/main" id="{CC3D431D-8ADD-445B-B2F7-EA4D3C62769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23" name="Line 235">
          <a:extLst>
            <a:ext uri="{FF2B5EF4-FFF2-40B4-BE49-F238E27FC236}">
              <a16:creationId xmlns:a16="http://schemas.microsoft.com/office/drawing/2014/main" id="{49680805-EE7A-470D-984B-2890B1203CC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24" name="Line 236">
          <a:extLst>
            <a:ext uri="{FF2B5EF4-FFF2-40B4-BE49-F238E27FC236}">
              <a16:creationId xmlns:a16="http://schemas.microsoft.com/office/drawing/2014/main" id="{70BD34B9-186A-46A8-9AA7-9B3A58B9C74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1225" name="Line 238">
          <a:extLst>
            <a:ext uri="{FF2B5EF4-FFF2-40B4-BE49-F238E27FC236}">
              <a16:creationId xmlns:a16="http://schemas.microsoft.com/office/drawing/2014/main" id="{99D7E7E0-8437-4295-921C-66AA6C836C5A}"/>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1226" name="Line 239">
          <a:extLst>
            <a:ext uri="{FF2B5EF4-FFF2-40B4-BE49-F238E27FC236}">
              <a16:creationId xmlns:a16="http://schemas.microsoft.com/office/drawing/2014/main" id="{44851225-6ED2-448F-AC20-CCB7F4503789}"/>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1227" name="Line 240">
          <a:extLst>
            <a:ext uri="{FF2B5EF4-FFF2-40B4-BE49-F238E27FC236}">
              <a16:creationId xmlns:a16="http://schemas.microsoft.com/office/drawing/2014/main" id="{8633F5A1-7E2B-4295-AF85-849708F7B9EB}"/>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1228" name="Line 241">
          <a:extLst>
            <a:ext uri="{FF2B5EF4-FFF2-40B4-BE49-F238E27FC236}">
              <a16:creationId xmlns:a16="http://schemas.microsoft.com/office/drawing/2014/main" id="{D0D6AE15-6565-4BCF-8572-77290DF2E2A5}"/>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1229" name="Line 242">
          <a:extLst>
            <a:ext uri="{FF2B5EF4-FFF2-40B4-BE49-F238E27FC236}">
              <a16:creationId xmlns:a16="http://schemas.microsoft.com/office/drawing/2014/main" id="{F69A47BF-5FA8-410D-8F0F-90ABFF472DD9}"/>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30" name="Line 250">
          <a:extLst>
            <a:ext uri="{FF2B5EF4-FFF2-40B4-BE49-F238E27FC236}">
              <a16:creationId xmlns:a16="http://schemas.microsoft.com/office/drawing/2014/main" id="{86C58193-EBAB-46FF-B47A-24FFCBB66A0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31" name="Line 251">
          <a:extLst>
            <a:ext uri="{FF2B5EF4-FFF2-40B4-BE49-F238E27FC236}">
              <a16:creationId xmlns:a16="http://schemas.microsoft.com/office/drawing/2014/main" id="{97411675-2E2C-4282-BAB3-90C40105DA4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32" name="Line 259">
          <a:extLst>
            <a:ext uri="{FF2B5EF4-FFF2-40B4-BE49-F238E27FC236}">
              <a16:creationId xmlns:a16="http://schemas.microsoft.com/office/drawing/2014/main" id="{C7555408-CD5F-4B6C-9062-497D35E7781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33" name="Line 260">
          <a:extLst>
            <a:ext uri="{FF2B5EF4-FFF2-40B4-BE49-F238E27FC236}">
              <a16:creationId xmlns:a16="http://schemas.microsoft.com/office/drawing/2014/main" id="{69CA9B29-6B28-4268-B9BF-3DB57CC5D38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34" name="Line 263">
          <a:extLst>
            <a:ext uri="{FF2B5EF4-FFF2-40B4-BE49-F238E27FC236}">
              <a16:creationId xmlns:a16="http://schemas.microsoft.com/office/drawing/2014/main" id="{04C1AC15-F20C-46D2-9353-F414D500A2A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35" name="Line 264">
          <a:extLst>
            <a:ext uri="{FF2B5EF4-FFF2-40B4-BE49-F238E27FC236}">
              <a16:creationId xmlns:a16="http://schemas.microsoft.com/office/drawing/2014/main" id="{69B63874-4D46-4BE9-BDFC-274946DC92E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36" name="Line 266">
          <a:extLst>
            <a:ext uri="{FF2B5EF4-FFF2-40B4-BE49-F238E27FC236}">
              <a16:creationId xmlns:a16="http://schemas.microsoft.com/office/drawing/2014/main" id="{40D9662B-DEF3-4CF4-8C59-CF2922384B8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37" name="Line 267">
          <a:extLst>
            <a:ext uri="{FF2B5EF4-FFF2-40B4-BE49-F238E27FC236}">
              <a16:creationId xmlns:a16="http://schemas.microsoft.com/office/drawing/2014/main" id="{0366E735-920E-4D89-9E42-24F2E1D7CB6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38" name="Line 285">
          <a:extLst>
            <a:ext uri="{FF2B5EF4-FFF2-40B4-BE49-F238E27FC236}">
              <a16:creationId xmlns:a16="http://schemas.microsoft.com/office/drawing/2014/main" id="{F93BB732-329F-4DDF-8D7F-16436D59881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39" name="Line 286">
          <a:extLst>
            <a:ext uri="{FF2B5EF4-FFF2-40B4-BE49-F238E27FC236}">
              <a16:creationId xmlns:a16="http://schemas.microsoft.com/office/drawing/2014/main" id="{DB9A5860-D69F-455B-838A-E35DDC38959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40" name="Line 288">
          <a:extLst>
            <a:ext uri="{FF2B5EF4-FFF2-40B4-BE49-F238E27FC236}">
              <a16:creationId xmlns:a16="http://schemas.microsoft.com/office/drawing/2014/main" id="{BECA2DEB-48BE-4F01-BAB8-DCE7946637B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41" name="Line 289">
          <a:extLst>
            <a:ext uri="{FF2B5EF4-FFF2-40B4-BE49-F238E27FC236}">
              <a16:creationId xmlns:a16="http://schemas.microsoft.com/office/drawing/2014/main" id="{1B6E3E19-6E09-4E51-B869-1E5F9E5A183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42" name="Line 308">
          <a:extLst>
            <a:ext uri="{FF2B5EF4-FFF2-40B4-BE49-F238E27FC236}">
              <a16:creationId xmlns:a16="http://schemas.microsoft.com/office/drawing/2014/main" id="{BC4C42E9-951A-45A6-B12E-C059E5C5C7A3}"/>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43" name="Line 309">
          <a:extLst>
            <a:ext uri="{FF2B5EF4-FFF2-40B4-BE49-F238E27FC236}">
              <a16:creationId xmlns:a16="http://schemas.microsoft.com/office/drawing/2014/main" id="{08E79A04-2680-4A49-97A1-4B29AEC540A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44" name="Line 333">
          <a:extLst>
            <a:ext uri="{FF2B5EF4-FFF2-40B4-BE49-F238E27FC236}">
              <a16:creationId xmlns:a16="http://schemas.microsoft.com/office/drawing/2014/main" id="{EA930BDB-8BD7-4EEF-B379-5ACAC6D73D0F}"/>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45" name="Line 334">
          <a:extLst>
            <a:ext uri="{FF2B5EF4-FFF2-40B4-BE49-F238E27FC236}">
              <a16:creationId xmlns:a16="http://schemas.microsoft.com/office/drawing/2014/main" id="{EDD309B1-7D49-44AB-A452-1F4D578C696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46" name="Line 340">
          <a:extLst>
            <a:ext uri="{FF2B5EF4-FFF2-40B4-BE49-F238E27FC236}">
              <a16:creationId xmlns:a16="http://schemas.microsoft.com/office/drawing/2014/main" id="{6B71598D-B002-4F85-AAB3-FEB41EDFB02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47" name="Line 341">
          <a:extLst>
            <a:ext uri="{FF2B5EF4-FFF2-40B4-BE49-F238E27FC236}">
              <a16:creationId xmlns:a16="http://schemas.microsoft.com/office/drawing/2014/main" id="{30047379-D242-4BF5-A6E2-B8CE5CE3940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323850</xdr:colOff>
      <xdr:row>0</xdr:row>
      <xdr:rowOff>209550</xdr:rowOff>
    </xdr:from>
    <xdr:to>
      <xdr:col>2</xdr:col>
      <xdr:colOff>447675</xdr:colOff>
      <xdr:row>0</xdr:row>
      <xdr:rowOff>209550</xdr:rowOff>
    </xdr:to>
    <xdr:sp macro="" textlink="">
      <xdr:nvSpPr>
        <xdr:cNvPr id="1248" name="Line 248">
          <a:extLst>
            <a:ext uri="{FF2B5EF4-FFF2-40B4-BE49-F238E27FC236}">
              <a16:creationId xmlns:a16="http://schemas.microsoft.com/office/drawing/2014/main" id="{736A33C6-C839-4137-B9CC-02FF702CE348}"/>
            </a:ext>
          </a:extLst>
        </xdr:cNvPr>
        <xdr:cNvSpPr>
          <a:spLocks noChangeShapeType="1"/>
        </xdr:cNvSpPr>
      </xdr:nvSpPr>
      <xdr:spPr bwMode="auto">
        <a:xfrm>
          <a:off x="6610350" y="209550"/>
          <a:ext cx="1238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323850</xdr:colOff>
      <xdr:row>0</xdr:row>
      <xdr:rowOff>209550</xdr:rowOff>
    </xdr:from>
    <xdr:to>
      <xdr:col>2</xdr:col>
      <xdr:colOff>438150</xdr:colOff>
      <xdr:row>0</xdr:row>
      <xdr:rowOff>209550</xdr:rowOff>
    </xdr:to>
    <xdr:sp macro="" textlink="">
      <xdr:nvSpPr>
        <xdr:cNvPr id="1249" name="Line 248">
          <a:extLst>
            <a:ext uri="{FF2B5EF4-FFF2-40B4-BE49-F238E27FC236}">
              <a16:creationId xmlns:a16="http://schemas.microsoft.com/office/drawing/2014/main" id="{108B6426-DA33-4000-8180-DA0B53F871DB}"/>
            </a:ext>
          </a:extLst>
        </xdr:cNvPr>
        <xdr:cNvSpPr>
          <a:spLocks noChangeShapeType="1"/>
        </xdr:cNvSpPr>
      </xdr:nvSpPr>
      <xdr:spPr bwMode="auto">
        <a:xfrm flipH="1">
          <a:off x="6610350" y="209550"/>
          <a:ext cx="1143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50" name="Line 340">
          <a:extLst>
            <a:ext uri="{FF2B5EF4-FFF2-40B4-BE49-F238E27FC236}">
              <a16:creationId xmlns:a16="http://schemas.microsoft.com/office/drawing/2014/main" id="{9A9D546A-E9F5-4190-8373-72FDF8E5D52E}"/>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51" name="Line 341">
          <a:extLst>
            <a:ext uri="{FF2B5EF4-FFF2-40B4-BE49-F238E27FC236}">
              <a16:creationId xmlns:a16="http://schemas.microsoft.com/office/drawing/2014/main" id="{045F5A69-DD08-4D9C-BC14-AD58736DFB6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52" name="Line 340">
          <a:extLst>
            <a:ext uri="{FF2B5EF4-FFF2-40B4-BE49-F238E27FC236}">
              <a16:creationId xmlns:a16="http://schemas.microsoft.com/office/drawing/2014/main" id="{73D67D02-EF70-49DC-B7D7-F972DA4E82A6}"/>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53" name="Line 341">
          <a:extLst>
            <a:ext uri="{FF2B5EF4-FFF2-40B4-BE49-F238E27FC236}">
              <a16:creationId xmlns:a16="http://schemas.microsoft.com/office/drawing/2014/main" id="{BDF712F8-FC26-4180-B2DD-1883E240A8D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54" name="Line 340">
          <a:extLst>
            <a:ext uri="{FF2B5EF4-FFF2-40B4-BE49-F238E27FC236}">
              <a16:creationId xmlns:a16="http://schemas.microsoft.com/office/drawing/2014/main" id="{8D97B701-1F36-4C74-B959-42ECDA786DD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55" name="Line 341">
          <a:extLst>
            <a:ext uri="{FF2B5EF4-FFF2-40B4-BE49-F238E27FC236}">
              <a16:creationId xmlns:a16="http://schemas.microsoft.com/office/drawing/2014/main" id="{C2929BB1-0C8B-4F40-A9E2-43C87E2EBEB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56" name="Line 333">
          <a:extLst>
            <a:ext uri="{FF2B5EF4-FFF2-40B4-BE49-F238E27FC236}">
              <a16:creationId xmlns:a16="http://schemas.microsoft.com/office/drawing/2014/main" id="{35115505-F0DF-4641-9771-506B8675B407}"/>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57" name="Line 334">
          <a:extLst>
            <a:ext uri="{FF2B5EF4-FFF2-40B4-BE49-F238E27FC236}">
              <a16:creationId xmlns:a16="http://schemas.microsoft.com/office/drawing/2014/main" id="{938DBFF6-30CE-48CC-855D-AE113C52F99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58" name="Line 333">
          <a:extLst>
            <a:ext uri="{FF2B5EF4-FFF2-40B4-BE49-F238E27FC236}">
              <a16:creationId xmlns:a16="http://schemas.microsoft.com/office/drawing/2014/main" id="{7474C303-7A87-42D7-BD52-3125C14E6645}"/>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59" name="Line 334">
          <a:extLst>
            <a:ext uri="{FF2B5EF4-FFF2-40B4-BE49-F238E27FC236}">
              <a16:creationId xmlns:a16="http://schemas.microsoft.com/office/drawing/2014/main" id="{148BB4F3-641C-4AC0-8969-B7805176A02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60" name="Line 333">
          <a:extLst>
            <a:ext uri="{FF2B5EF4-FFF2-40B4-BE49-F238E27FC236}">
              <a16:creationId xmlns:a16="http://schemas.microsoft.com/office/drawing/2014/main" id="{82474B60-D294-4C89-87C0-4A34286443DD}"/>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261" name="Line 222">
          <a:extLst>
            <a:ext uri="{FF2B5EF4-FFF2-40B4-BE49-F238E27FC236}">
              <a16:creationId xmlns:a16="http://schemas.microsoft.com/office/drawing/2014/main" id="{43602A04-72E6-41AB-80B6-B654E3A6121B}"/>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262" name="Line 223">
          <a:extLst>
            <a:ext uri="{FF2B5EF4-FFF2-40B4-BE49-F238E27FC236}">
              <a16:creationId xmlns:a16="http://schemas.microsoft.com/office/drawing/2014/main" id="{C3B2F2A0-381C-4F94-BDE5-1EDABC844B24}"/>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263" name="Line 224">
          <a:extLst>
            <a:ext uri="{FF2B5EF4-FFF2-40B4-BE49-F238E27FC236}">
              <a16:creationId xmlns:a16="http://schemas.microsoft.com/office/drawing/2014/main" id="{DC23A576-ED7E-4C67-865C-1C35B3A58E5C}"/>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64" name="Line 226">
          <a:extLst>
            <a:ext uri="{FF2B5EF4-FFF2-40B4-BE49-F238E27FC236}">
              <a16:creationId xmlns:a16="http://schemas.microsoft.com/office/drawing/2014/main" id="{90758205-7871-496B-8CE3-FDEBE7FB46C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65" name="Line 227">
          <a:extLst>
            <a:ext uri="{FF2B5EF4-FFF2-40B4-BE49-F238E27FC236}">
              <a16:creationId xmlns:a16="http://schemas.microsoft.com/office/drawing/2014/main" id="{F24DB2D2-D8C1-4773-A39E-950F0F43033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66" name="Line 229">
          <a:extLst>
            <a:ext uri="{FF2B5EF4-FFF2-40B4-BE49-F238E27FC236}">
              <a16:creationId xmlns:a16="http://schemas.microsoft.com/office/drawing/2014/main" id="{B9AAB065-CD87-477B-B0C9-3970731789F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267" name="Line 222">
          <a:extLst>
            <a:ext uri="{FF2B5EF4-FFF2-40B4-BE49-F238E27FC236}">
              <a16:creationId xmlns:a16="http://schemas.microsoft.com/office/drawing/2014/main" id="{D7E15694-1093-4E22-8117-547B2308AAB4}"/>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268" name="Line 223">
          <a:extLst>
            <a:ext uri="{FF2B5EF4-FFF2-40B4-BE49-F238E27FC236}">
              <a16:creationId xmlns:a16="http://schemas.microsoft.com/office/drawing/2014/main" id="{ACE15B09-0100-417A-AA17-4526437A5024}"/>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269" name="Line 224">
          <a:extLst>
            <a:ext uri="{FF2B5EF4-FFF2-40B4-BE49-F238E27FC236}">
              <a16:creationId xmlns:a16="http://schemas.microsoft.com/office/drawing/2014/main" id="{57927B66-936D-44F4-97A7-5BBB8D77C21F}"/>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70" name="Line 226">
          <a:extLst>
            <a:ext uri="{FF2B5EF4-FFF2-40B4-BE49-F238E27FC236}">
              <a16:creationId xmlns:a16="http://schemas.microsoft.com/office/drawing/2014/main" id="{FC82A29B-113D-43FE-A858-0CFE42F5514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71" name="Line 227">
          <a:extLst>
            <a:ext uri="{FF2B5EF4-FFF2-40B4-BE49-F238E27FC236}">
              <a16:creationId xmlns:a16="http://schemas.microsoft.com/office/drawing/2014/main" id="{07F28F27-3BFC-45A4-A11D-DE92A33D052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72" name="Line 229">
          <a:extLst>
            <a:ext uri="{FF2B5EF4-FFF2-40B4-BE49-F238E27FC236}">
              <a16:creationId xmlns:a16="http://schemas.microsoft.com/office/drawing/2014/main" id="{B48F9D8B-6DC3-4341-A461-CD79CFE8E0A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73" name="Line 230">
          <a:extLst>
            <a:ext uri="{FF2B5EF4-FFF2-40B4-BE49-F238E27FC236}">
              <a16:creationId xmlns:a16="http://schemas.microsoft.com/office/drawing/2014/main" id="{BB84E44D-BDFB-4FBF-AC70-71A5548BF7F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74" name="Line 232">
          <a:extLst>
            <a:ext uri="{FF2B5EF4-FFF2-40B4-BE49-F238E27FC236}">
              <a16:creationId xmlns:a16="http://schemas.microsoft.com/office/drawing/2014/main" id="{D2E59A98-A0B7-414F-B329-8759CB6B21F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75" name="Line 233">
          <a:extLst>
            <a:ext uri="{FF2B5EF4-FFF2-40B4-BE49-F238E27FC236}">
              <a16:creationId xmlns:a16="http://schemas.microsoft.com/office/drawing/2014/main" id="{EA223DEB-1B21-47F0-80DA-9D1B0CF33D6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76" name="Line 235">
          <a:extLst>
            <a:ext uri="{FF2B5EF4-FFF2-40B4-BE49-F238E27FC236}">
              <a16:creationId xmlns:a16="http://schemas.microsoft.com/office/drawing/2014/main" id="{663BC3E1-0DC2-4209-AAAB-EA4D5FB57C1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77" name="Line 236">
          <a:extLst>
            <a:ext uri="{FF2B5EF4-FFF2-40B4-BE49-F238E27FC236}">
              <a16:creationId xmlns:a16="http://schemas.microsoft.com/office/drawing/2014/main" id="{4158319B-3981-4DBE-8C2B-A4B904B078B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1278" name="Line 238">
          <a:extLst>
            <a:ext uri="{FF2B5EF4-FFF2-40B4-BE49-F238E27FC236}">
              <a16:creationId xmlns:a16="http://schemas.microsoft.com/office/drawing/2014/main" id="{9BC401C6-AE46-403C-949B-80238E97DFFE}"/>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1279" name="Line 239">
          <a:extLst>
            <a:ext uri="{FF2B5EF4-FFF2-40B4-BE49-F238E27FC236}">
              <a16:creationId xmlns:a16="http://schemas.microsoft.com/office/drawing/2014/main" id="{165955BF-6D03-428E-8F60-1D9DBFAC7DC3}"/>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1280" name="Line 240">
          <a:extLst>
            <a:ext uri="{FF2B5EF4-FFF2-40B4-BE49-F238E27FC236}">
              <a16:creationId xmlns:a16="http://schemas.microsoft.com/office/drawing/2014/main" id="{0D177711-F2B1-41A1-8E31-EC41AD1C7F25}"/>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1281" name="Line 241">
          <a:extLst>
            <a:ext uri="{FF2B5EF4-FFF2-40B4-BE49-F238E27FC236}">
              <a16:creationId xmlns:a16="http://schemas.microsoft.com/office/drawing/2014/main" id="{4D815A08-E6D3-49B1-8A45-D835BCF06A2F}"/>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1282" name="Line 242">
          <a:extLst>
            <a:ext uri="{FF2B5EF4-FFF2-40B4-BE49-F238E27FC236}">
              <a16:creationId xmlns:a16="http://schemas.microsoft.com/office/drawing/2014/main" id="{FD62D311-3957-4D29-88DE-39D766B87D49}"/>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83" name="Line 250">
          <a:extLst>
            <a:ext uri="{FF2B5EF4-FFF2-40B4-BE49-F238E27FC236}">
              <a16:creationId xmlns:a16="http://schemas.microsoft.com/office/drawing/2014/main" id="{42E720FD-EC56-462B-ADE4-819A9396DF5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84" name="Line 251">
          <a:extLst>
            <a:ext uri="{FF2B5EF4-FFF2-40B4-BE49-F238E27FC236}">
              <a16:creationId xmlns:a16="http://schemas.microsoft.com/office/drawing/2014/main" id="{09949A3F-4B22-4A24-B7C6-CEA9AFEF44D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85" name="Line 259">
          <a:extLst>
            <a:ext uri="{FF2B5EF4-FFF2-40B4-BE49-F238E27FC236}">
              <a16:creationId xmlns:a16="http://schemas.microsoft.com/office/drawing/2014/main" id="{F26CEDF9-0D16-4B67-ACB2-544F79CB822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86" name="Line 260">
          <a:extLst>
            <a:ext uri="{FF2B5EF4-FFF2-40B4-BE49-F238E27FC236}">
              <a16:creationId xmlns:a16="http://schemas.microsoft.com/office/drawing/2014/main" id="{E7975AEF-CD63-426D-A39F-56F1514574F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87" name="Line 263">
          <a:extLst>
            <a:ext uri="{FF2B5EF4-FFF2-40B4-BE49-F238E27FC236}">
              <a16:creationId xmlns:a16="http://schemas.microsoft.com/office/drawing/2014/main" id="{163B0644-6815-4DEC-BCFD-3ED1418D99B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88" name="Line 264">
          <a:extLst>
            <a:ext uri="{FF2B5EF4-FFF2-40B4-BE49-F238E27FC236}">
              <a16:creationId xmlns:a16="http://schemas.microsoft.com/office/drawing/2014/main" id="{EEE83BF7-28EF-4ED4-B2E1-2B01D4C4D88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289" name="Line 222">
          <a:extLst>
            <a:ext uri="{FF2B5EF4-FFF2-40B4-BE49-F238E27FC236}">
              <a16:creationId xmlns:a16="http://schemas.microsoft.com/office/drawing/2014/main" id="{0EF335CC-F870-4A52-A727-6ADE93B12E70}"/>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290" name="Line 223">
          <a:extLst>
            <a:ext uri="{FF2B5EF4-FFF2-40B4-BE49-F238E27FC236}">
              <a16:creationId xmlns:a16="http://schemas.microsoft.com/office/drawing/2014/main" id="{D9930974-0678-40AB-90BB-329056E6D5BA}"/>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291" name="Line 224">
          <a:extLst>
            <a:ext uri="{FF2B5EF4-FFF2-40B4-BE49-F238E27FC236}">
              <a16:creationId xmlns:a16="http://schemas.microsoft.com/office/drawing/2014/main" id="{3227EEC7-1F89-477B-BF8D-0DF2CA6A2AFE}"/>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92" name="Line 226">
          <a:extLst>
            <a:ext uri="{FF2B5EF4-FFF2-40B4-BE49-F238E27FC236}">
              <a16:creationId xmlns:a16="http://schemas.microsoft.com/office/drawing/2014/main" id="{FC210B05-42D4-4EFF-A78E-07E226461C2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93" name="Line 227">
          <a:extLst>
            <a:ext uri="{FF2B5EF4-FFF2-40B4-BE49-F238E27FC236}">
              <a16:creationId xmlns:a16="http://schemas.microsoft.com/office/drawing/2014/main" id="{12EED65C-84E2-414F-B96B-81E284D4D7B9}"/>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94" name="Line 229">
          <a:extLst>
            <a:ext uri="{FF2B5EF4-FFF2-40B4-BE49-F238E27FC236}">
              <a16:creationId xmlns:a16="http://schemas.microsoft.com/office/drawing/2014/main" id="{012BCA4B-E8E0-4CE8-9D7F-437375A21FDE}"/>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95" name="Line 230">
          <a:extLst>
            <a:ext uri="{FF2B5EF4-FFF2-40B4-BE49-F238E27FC236}">
              <a16:creationId xmlns:a16="http://schemas.microsoft.com/office/drawing/2014/main" id="{B410783C-0E0A-4137-88A9-2D3C50CB54B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96" name="Line 232">
          <a:extLst>
            <a:ext uri="{FF2B5EF4-FFF2-40B4-BE49-F238E27FC236}">
              <a16:creationId xmlns:a16="http://schemas.microsoft.com/office/drawing/2014/main" id="{4F7E5579-8BB6-4014-899D-8A5439A0EADE}"/>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97" name="Line 233">
          <a:extLst>
            <a:ext uri="{FF2B5EF4-FFF2-40B4-BE49-F238E27FC236}">
              <a16:creationId xmlns:a16="http://schemas.microsoft.com/office/drawing/2014/main" id="{EE3C6C04-ADB2-4FB1-B625-165966AA814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298" name="Line 235">
          <a:extLst>
            <a:ext uri="{FF2B5EF4-FFF2-40B4-BE49-F238E27FC236}">
              <a16:creationId xmlns:a16="http://schemas.microsoft.com/office/drawing/2014/main" id="{725AF8C7-A6F5-40F7-A545-74078A4EA64E}"/>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299" name="Line 236">
          <a:extLst>
            <a:ext uri="{FF2B5EF4-FFF2-40B4-BE49-F238E27FC236}">
              <a16:creationId xmlns:a16="http://schemas.microsoft.com/office/drawing/2014/main" id="{5F70B8FE-1C76-4AF2-B357-D4EEA4FF0E8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1300" name="Line 238">
          <a:extLst>
            <a:ext uri="{FF2B5EF4-FFF2-40B4-BE49-F238E27FC236}">
              <a16:creationId xmlns:a16="http://schemas.microsoft.com/office/drawing/2014/main" id="{16E3D9FA-97A1-476E-8FC2-9679095BAF1C}"/>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1301" name="Line 239">
          <a:extLst>
            <a:ext uri="{FF2B5EF4-FFF2-40B4-BE49-F238E27FC236}">
              <a16:creationId xmlns:a16="http://schemas.microsoft.com/office/drawing/2014/main" id="{AB1FD5AB-01C8-45A2-8CE1-87B38C2884CF}"/>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1302" name="Line 240">
          <a:extLst>
            <a:ext uri="{FF2B5EF4-FFF2-40B4-BE49-F238E27FC236}">
              <a16:creationId xmlns:a16="http://schemas.microsoft.com/office/drawing/2014/main" id="{C0AD77F9-9F5E-4A41-8628-4D50C3685909}"/>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1303" name="Line 241">
          <a:extLst>
            <a:ext uri="{FF2B5EF4-FFF2-40B4-BE49-F238E27FC236}">
              <a16:creationId xmlns:a16="http://schemas.microsoft.com/office/drawing/2014/main" id="{019FCC03-07BF-4E1C-84EB-A7C05C43D5EB}"/>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1304" name="Line 242">
          <a:extLst>
            <a:ext uri="{FF2B5EF4-FFF2-40B4-BE49-F238E27FC236}">
              <a16:creationId xmlns:a16="http://schemas.microsoft.com/office/drawing/2014/main" id="{32F436E6-D74D-4F3A-8FAF-61A3B6855521}"/>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05" name="Line 250">
          <a:extLst>
            <a:ext uri="{FF2B5EF4-FFF2-40B4-BE49-F238E27FC236}">
              <a16:creationId xmlns:a16="http://schemas.microsoft.com/office/drawing/2014/main" id="{6E73F512-331E-4DC2-BE93-A790C14D86F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06" name="Line 251">
          <a:extLst>
            <a:ext uri="{FF2B5EF4-FFF2-40B4-BE49-F238E27FC236}">
              <a16:creationId xmlns:a16="http://schemas.microsoft.com/office/drawing/2014/main" id="{266BAD56-BE2E-4309-A9CE-D121957EA1F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07" name="Line 259">
          <a:extLst>
            <a:ext uri="{FF2B5EF4-FFF2-40B4-BE49-F238E27FC236}">
              <a16:creationId xmlns:a16="http://schemas.microsoft.com/office/drawing/2014/main" id="{DAFD35F4-E0BA-4C77-B412-3808D23FE55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08" name="Line 260">
          <a:extLst>
            <a:ext uri="{FF2B5EF4-FFF2-40B4-BE49-F238E27FC236}">
              <a16:creationId xmlns:a16="http://schemas.microsoft.com/office/drawing/2014/main" id="{22CDAD90-4653-4D7B-AD7F-4D2E42459D3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09" name="Line 263">
          <a:extLst>
            <a:ext uri="{FF2B5EF4-FFF2-40B4-BE49-F238E27FC236}">
              <a16:creationId xmlns:a16="http://schemas.microsoft.com/office/drawing/2014/main" id="{976CC7B9-F475-4946-B1B7-0ABD727F598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10" name="Line 264">
          <a:extLst>
            <a:ext uri="{FF2B5EF4-FFF2-40B4-BE49-F238E27FC236}">
              <a16:creationId xmlns:a16="http://schemas.microsoft.com/office/drawing/2014/main" id="{F24E027C-5A0A-4C1D-AC58-B3729AEC1F7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11" name="Line 266">
          <a:extLst>
            <a:ext uri="{FF2B5EF4-FFF2-40B4-BE49-F238E27FC236}">
              <a16:creationId xmlns:a16="http://schemas.microsoft.com/office/drawing/2014/main" id="{4CC94505-D232-4619-84A6-9F7B13188A1E}"/>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12" name="Line 267">
          <a:extLst>
            <a:ext uri="{FF2B5EF4-FFF2-40B4-BE49-F238E27FC236}">
              <a16:creationId xmlns:a16="http://schemas.microsoft.com/office/drawing/2014/main" id="{15B47203-77FF-4BA2-9A40-3FAA5B39479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13" name="Line 285">
          <a:extLst>
            <a:ext uri="{FF2B5EF4-FFF2-40B4-BE49-F238E27FC236}">
              <a16:creationId xmlns:a16="http://schemas.microsoft.com/office/drawing/2014/main" id="{1919414E-FD43-4B8E-A3FC-712147D5A26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14" name="Line 286">
          <a:extLst>
            <a:ext uri="{FF2B5EF4-FFF2-40B4-BE49-F238E27FC236}">
              <a16:creationId xmlns:a16="http://schemas.microsoft.com/office/drawing/2014/main" id="{5F298B7F-02E5-405D-8056-22CD3113FFB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15" name="Line 288">
          <a:extLst>
            <a:ext uri="{FF2B5EF4-FFF2-40B4-BE49-F238E27FC236}">
              <a16:creationId xmlns:a16="http://schemas.microsoft.com/office/drawing/2014/main" id="{7922EF7B-C46F-4950-8923-CB5517965E74}"/>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16" name="Line 289">
          <a:extLst>
            <a:ext uri="{FF2B5EF4-FFF2-40B4-BE49-F238E27FC236}">
              <a16:creationId xmlns:a16="http://schemas.microsoft.com/office/drawing/2014/main" id="{0CECAB90-24E9-4DC9-B485-B0A8A366070F}"/>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317" name="Line 293">
          <a:extLst>
            <a:ext uri="{FF2B5EF4-FFF2-40B4-BE49-F238E27FC236}">
              <a16:creationId xmlns:a16="http://schemas.microsoft.com/office/drawing/2014/main" id="{4BEFF8B0-6FFD-4D55-BA6A-AE830F416AB3}"/>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18" name="Line 308">
          <a:extLst>
            <a:ext uri="{FF2B5EF4-FFF2-40B4-BE49-F238E27FC236}">
              <a16:creationId xmlns:a16="http://schemas.microsoft.com/office/drawing/2014/main" id="{3218FF75-26EF-488C-876B-36F960BB1D8F}"/>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19" name="Line 309">
          <a:extLst>
            <a:ext uri="{FF2B5EF4-FFF2-40B4-BE49-F238E27FC236}">
              <a16:creationId xmlns:a16="http://schemas.microsoft.com/office/drawing/2014/main" id="{212BED57-F8A2-42FB-8DB6-6D4953AB3C1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20" name="Line 333">
          <a:extLst>
            <a:ext uri="{FF2B5EF4-FFF2-40B4-BE49-F238E27FC236}">
              <a16:creationId xmlns:a16="http://schemas.microsoft.com/office/drawing/2014/main" id="{050D6029-76FA-48B7-97E2-9A1FAEE13223}"/>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21" name="Line 334">
          <a:extLst>
            <a:ext uri="{FF2B5EF4-FFF2-40B4-BE49-F238E27FC236}">
              <a16:creationId xmlns:a16="http://schemas.microsoft.com/office/drawing/2014/main" id="{415BCC2A-E327-4978-A79B-D2549E0498B2}"/>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22" name="Line 340">
          <a:extLst>
            <a:ext uri="{FF2B5EF4-FFF2-40B4-BE49-F238E27FC236}">
              <a16:creationId xmlns:a16="http://schemas.microsoft.com/office/drawing/2014/main" id="{B0F52DCA-BEF3-4A79-9FFA-7812DBC8467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23" name="Line 341">
          <a:extLst>
            <a:ext uri="{FF2B5EF4-FFF2-40B4-BE49-F238E27FC236}">
              <a16:creationId xmlns:a16="http://schemas.microsoft.com/office/drawing/2014/main" id="{53C5D40B-4236-4161-AE78-2646250C72C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324" name="Line 222">
          <a:extLst>
            <a:ext uri="{FF2B5EF4-FFF2-40B4-BE49-F238E27FC236}">
              <a16:creationId xmlns:a16="http://schemas.microsoft.com/office/drawing/2014/main" id="{40314263-1BD7-4B17-9532-BFEB311F1EED}"/>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325" name="Line 223">
          <a:extLst>
            <a:ext uri="{FF2B5EF4-FFF2-40B4-BE49-F238E27FC236}">
              <a16:creationId xmlns:a16="http://schemas.microsoft.com/office/drawing/2014/main" id="{AF6612E8-744E-4E39-BB6D-1A89B0975FCB}"/>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326" name="Line 224">
          <a:extLst>
            <a:ext uri="{FF2B5EF4-FFF2-40B4-BE49-F238E27FC236}">
              <a16:creationId xmlns:a16="http://schemas.microsoft.com/office/drawing/2014/main" id="{DE068287-78CD-42B5-A4D6-062831E04291}"/>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327" name="Line 222">
          <a:extLst>
            <a:ext uri="{FF2B5EF4-FFF2-40B4-BE49-F238E27FC236}">
              <a16:creationId xmlns:a16="http://schemas.microsoft.com/office/drawing/2014/main" id="{C6C6C7F6-2586-4730-9F64-202691EED467}"/>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328" name="Line 223">
          <a:extLst>
            <a:ext uri="{FF2B5EF4-FFF2-40B4-BE49-F238E27FC236}">
              <a16:creationId xmlns:a16="http://schemas.microsoft.com/office/drawing/2014/main" id="{9928AFFD-EAA9-46B6-97D3-75C5D00693E5}"/>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329" name="Line 224">
          <a:extLst>
            <a:ext uri="{FF2B5EF4-FFF2-40B4-BE49-F238E27FC236}">
              <a16:creationId xmlns:a16="http://schemas.microsoft.com/office/drawing/2014/main" id="{D85BA804-30FD-474F-8D55-4E8FB0679815}"/>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30" name="Line 226">
          <a:extLst>
            <a:ext uri="{FF2B5EF4-FFF2-40B4-BE49-F238E27FC236}">
              <a16:creationId xmlns:a16="http://schemas.microsoft.com/office/drawing/2014/main" id="{63A2EB8A-3A60-40C8-9176-1A9876D6945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31" name="Line 227">
          <a:extLst>
            <a:ext uri="{FF2B5EF4-FFF2-40B4-BE49-F238E27FC236}">
              <a16:creationId xmlns:a16="http://schemas.microsoft.com/office/drawing/2014/main" id="{46DA0B75-A500-47A1-95B5-5DF4560B371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32" name="Line 229">
          <a:extLst>
            <a:ext uri="{FF2B5EF4-FFF2-40B4-BE49-F238E27FC236}">
              <a16:creationId xmlns:a16="http://schemas.microsoft.com/office/drawing/2014/main" id="{ECA6C282-91A5-48BD-A928-EE401FC22D2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33" name="Line 230">
          <a:extLst>
            <a:ext uri="{FF2B5EF4-FFF2-40B4-BE49-F238E27FC236}">
              <a16:creationId xmlns:a16="http://schemas.microsoft.com/office/drawing/2014/main" id="{8034C3CE-3E8A-4706-80C0-CAADC6B2068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34" name="Line 232">
          <a:extLst>
            <a:ext uri="{FF2B5EF4-FFF2-40B4-BE49-F238E27FC236}">
              <a16:creationId xmlns:a16="http://schemas.microsoft.com/office/drawing/2014/main" id="{05C5B3F6-F8AC-489C-A392-E4308F13F3F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35" name="Line 233">
          <a:extLst>
            <a:ext uri="{FF2B5EF4-FFF2-40B4-BE49-F238E27FC236}">
              <a16:creationId xmlns:a16="http://schemas.microsoft.com/office/drawing/2014/main" id="{3027ACE9-1455-4028-95F3-A99BB369236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36" name="Line 235">
          <a:extLst>
            <a:ext uri="{FF2B5EF4-FFF2-40B4-BE49-F238E27FC236}">
              <a16:creationId xmlns:a16="http://schemas.microsoft.com/office/drawing/2014/main" id="{F6BA97F6-6550-4B9C-B1DF-AB476736574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37" name="Line 236">
          <a:extLst>
            <a:ext uri="{FF2B5EF4-FFF2-40B4-BE49-F238E27FC236}">
              <a16:creationId xmlns:a16="http://schemas.microsoft.com/office/drawing/2014/main" id="{B8A9470F-C44C-49C0-AAD6-50B248216C0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1338" name="Line 238">
          <a:extLst>
            <a:ext uri="{FF2B5EF4-FFF2-40B4-BE49-F238E27FC236}">
              <a16:creationId xmlns:a16="http://schemas.microsoft.com/office/drawing/2014/main" id="{93B522D5-1C33-4C19-B99F-EE9F735D5635}"/>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1339" name="Line 239">
          <a:extLst>
            <a:ext uri="{FF2B5EF4-FFF2-40B4-BE49-F238E27FC236}">
              <a16:creationId xmlns:a16="http://schemas.microsoft.com/office/drawing/2014/main" id="{A699250D-1154-4C3D-B342-89052F616449}"/>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1340" name="Line 240">
          <a:extLst>
            <a:ext uri="{FF2B5EF4-FFF2-40B4-BE49-F238E27FC236}">
              <a16:creationId xmlns:a16="http://schemas.microsoft.com/office/drawing/2014/main" id="{7CD631E6-0620-4AF2-BBC0-A885B296B72B}"/>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1341" name="Line 241">
          <a:extLst>
            <a:ext uri="{FF2B5EF4-FFF2-40B4-BE49-F238E27FC236}">
              <a16:creationId xmlns:a16="http://schemas.microsoft.com/office/drawing/2014/main" id="{C13D14BD-79A0-426F-9DB9-9BB6733F7BA4}"/>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1342" name="Line 242">
          <a:extLst>
            <a:ext uri="{FF2B5EF4-FFF2-40B4-BE49-F238E27FC236}">
              <a16:creationId xmlns:a16="http://schemas.microsoft.com/office/drawing/2014/main" id="{5B87C16F-3877-45EA-AB94-8C71C472CA02}"/>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43" name="Line 250">
          <a:extLst>
            <a:ext uri="{FF2B5EF4-FFF2-40B4-BE49-F238E27FC236}">
              <a16:creationId xmlns:a16="http://schemas.microsoft.com/office/drawing/2014/main" id="{8098BA79-FCE0-446D-9FBE-7FC6EDB7852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44" name="Line 251">
          <a:extLst>
            <a:ext uri="{FF2B5EF4-FFF2-40B4-BE49-F238E27FC236}">
              <a16:creationId xmlns:a16="http://schemas.microsoft.com/office/drawing/2014/main" id="{60EB1F16-B94F-41C5-BC09-46065F094CC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45" name="Line 259">
          <a:extLst>
            <a:ext uri="{FF2B5EF4-FFF2-40B4-BE49-F238E27FC236}">
              <a16:creationId xmlns:a16="http://schemas.microsoft.com/office/drawing/2014/main" id="{F61F7AA1-37D6-48A4-A5F7-36EB0D2B94F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46" name="Line 260">
          <a:extLst>
            <a:ext uri="{FF2B5EF4-FFF2-40B4-BE49-F238E27FC236}">
              <a16:creationId xmlns:a16="http://schemas.microsoft.com/office/drawing/2014/main" id="{F15DB157-0CF2-4D6D-B415-ACF1E636EFA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47" name="Line 263">
          <a:extLst>
            <a:ext uri="{FF2B5EF4-FFF2-40B4-BE49-F238E27FC236}">
              <a16:creationId xmlns:a16="http://schemas.microsoft.com/office/drawing/2014/main" id="{5934E4B6-100F-4EBD-8B47-E0673903B84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48" name="Line 264">
          <a:extLst>
            <a:ext uri="{FF2B5EF4-FFF2-40B4-BE49-F238E27FC236}">
              <a16:creationId xmlns:a16="http://schemas.microsoft.com/office/drawing/2014/main" id="{759941C1-BC77-452F-BEB1-031D746B025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349" name="Line 222">
          <a:extLst>
            <a:ext uri="{FF2B5EF4-FFF2-40B4-BE49-F238E27FC236}">
              <a16:creationId xmlns:a16="http://schemas.microsoft.com/office/drawing/2014/main" id="{BEE37110-BD8E-4334-BD2D-64852F7D407D}"/>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350" name="Line 223">
          <a:extLst>
            <a:ext uri="{FF2B5EF4-FFF2-40B4-BE49-F238E27FC236}">
              <a16:creationId xmlns:a16="http://schemas.microsoft.com/office/drawing/2014/main" id="{2F11385F-40A3-4C58-9E86-37EA56721464}"/>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351" name="Line 224">
          <a:extLst>
            <a:ext uri="{FF2B5EF4-FFF2-40B4-BE49-F238E27FC236}">
              <a16:creationId xmlns:a16="http://schemas.microsoft.com/office/drawing/2014/main" id="{06272563-2411-4E24-8641-C1CBA40F328C}"/>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52" name="Line 226">
          <a:extLst>
            <a:ext uri="{FF2B5EF4-FFF2-40B4-BE49-F238E27FC236}">
              <a16:creationId xmlns:a16="http://schemas.microsoft.com/office/drawing/2014/main" id="{518EBEAD-6991-43FD-9583-411269DDF44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53" name="Line 227">
          <a:extLst>
            <a:ext uri="{FF2B5EF4-FFF2-40B4-BE49-F238E27FC236}">
              <a16:creationId xmlns:a16="http://schemas.microsoft.com/office/drawing/2014/main" id="{CC223084-A5EF-4EE2-89B3-B2F7E897272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54" name="Line 229">
          <a:extLst>
            <a:ext uri="{FF2B5EF4-FFF2-40B4-BE49-F238E27FC236}">
              <a16:creationId xmlns:a16="http://schemas.microsoft.com/office/drawing/2014/main" id="{4D5F4FDD-9876-419E-BD80-CA9045E28A6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55" name="Line 230">
          <a:extLst>
            <a:ext uri="{FF2B5EF4-FFF2-40B4-BE49-F238E27FC236}">
              <a16:creationId xmlns:a16="http://schemas.microsoft.com/office/drawing/2014/main" id="{78BC3D71-AA60-4B35-B077-A7E145B3CEF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56" name="Line 232">
          <a:extLst>
            <a:ext uri="{FF2B5EF4-FFF2-40B4-BE49-F238E27FC236}">
              <a16:creationId xmlns:a16="http://schemas.microsoft.com/office/drawing/2014/main" id="{9B7596E8-5F8F-4A53-BF03-1F587DB0807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57" name="Line 233">
          <a:extLst>
            <a:ext uri="{FF2B5EF4-FFF2-40B4-BE49-F238E27FC236}">
              <a16:creationId xmlns:a16="http://schemas.microsoft.com/office/drawing/2014/main" id="{B0B376EA-5377-4899-83CA-1ECFEFE38AE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58" name="Line 235">
          <a:extLst>
            <a:ext uri="{FF2B5EF4-FFF2-40B4-BE49-F238E27FC236}">
              <a16:creationId xmlns:a16="http://schemas.microsoft.com/office/drawing/2014/main" id="{9F5E7B57-4E62-41E9-BA2D-5162DF99E84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59" name="Line 236">
          <a:extLst>
            <a:ext uri="{FF2B5EF4-FFF2-40B4-BE49-F238E27FC236}">
              <a16:creationId xmlns:a16="http://schemas.microsoft.com/office/drawing/2014/main" id="{1BFF0D6C-EFC8-4664-AF0F-35FC1B2CDAC9}"/>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1360" name="Line 238">
          <a:extLst>
            <a:ext uri="{FF2B5EF4-FFF2-40B4-BE49-F238E27FC236}">
              <a16:creationId xmlns:a16="http://schemas.microsoft.com/office/drawing/2014/main" id="{43CFF722-CE15-48E8-88CB-47155DEBA513}"/>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1361" name="Line 239">
          <a:extLst>
            <a:ext uri="{FF2B5EF4-FFF2-40B4-BE49-F238E27FC236}">
              <a16:creationId xmlns:a16="http://schemas.microsoft.com/office/drawing/2014/main" id="{E0BF87A9-338C-41E9-94DF-A3649B7189DB}"/>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1362" name="Line 240">
          <a:extLst>
            <a:ext uri="{FF2B5EF4-FFF2-40B4-BE49-F238E27FC236}">
              <a16:creationId xmlns:a16="http://schemas.microsoft.com/office/drawing/2014/main" id="{112A219F-995E-450A-9071-75A8B21D2F28}"/>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1363" name="Line 241">
          <a:extLst>
            <a:ext uri="{FF2B5EF4-FFF2-40B4-BE49-F238E27FC236}">
              <a16:creationId xmlns:a16="http://schemas.microsoft.com/office/drawing/2014/main" id="{7CD337F4-7389-4448-9043-BBDDC219F035}"/>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1364" name="Line 242">
          <a:extLst>
            <a:ext uri="{FF2B5EF4-FFF2-40B4-BE49-F238E27FC236}">
              <a16:creationId xmlns:a16="http://schemas.microsoft.com/office/drawing/2014/main" id="{4E9E6BC6-0053-455F-A259-BF0497361B58}"/>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65" name="Line 250">
          <a:extLst>
            <a:ext uri="{FF2B5EF4-FFF2-40B4-BE49-F238E27FC236}">
              <a16:creationId xmlns:a16="http://schemas.microsoft.com/office/drawing/2014/main" id="{D03A49D6-FB93-44B9-B28F-6CFE12C72B7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66" name="Line 251">
          <a:extLst>
            <a:ext uri="{FF2B5EF4-FFF2-40B4-BE49-F238E27FC236}">
              <a16:creationId xmlns:a16="http://schemas.microsoft.com/office/drawing/2014/main" id="{F57023DA-5D36-4AC9-9F66-7E2791B561A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67" name="Line 259">
          <a:extLst>
            <a:ext uri="{FF2B5EF4-FFF2-40B4-BE49-F238E27FC236}">
              <a16:creationId xmlns:a16="http://schemas.microsoft.com/office/drawing/2014/main" id="{BDA05E2A-55BE-4B54-82E3-B9BE38B388D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68" name="Line 260">
          <a:extLst>
            <a:ext uri="{FF2B5EF4-FFF2-40B4-BE49-F238E27FC236}">
              <a16:creationId xmlns:a16="http://schemas.microsoft.com/office/drawing/2014/main" id="{7523C56C-F8AA-4F2E-9454-895BD27AFA9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69" name="Line 263">
          <a:extLst>
            <a:ext uri="{FF2B5EF4-FFF2-40B4-BE49-F238E27FC236}">
              <a16:creationId xmlns:a16="http://schemas.microsoft.com/office/drawing/2014/main" id="{A7659507-D73A-4D36-B5D2-4E1413FC2E22}"/>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70" name="Line 264">
          <a:extLst>
            <a:ext uri="{FF2B5EF4-FFF2-40B4-BE49-F238E27FC236}">
              <a16:creationId xmlns:a16="http://schemas.microsoft.com/office/drawing/2014/main" id="{B745BC17-352C-4AEE-8BDB-5251CFCB756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71" name="Line 266">
          <a:extLst>
            <a:ext uri="{FF2B5EF4-FFF2-40B4-BE49-F238E27FC236}">
              <a16:creationId xmlns:a16="http://schemas.microsoft.com/office/drawing/2014/main" id="{D7C1D92C-47D8-4978-8C16-0C4647146AA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72" name="Line 267">
          <a:extLst>
            <a:ext uri="{FF2B5EF4-FFF2-40B4-BE49-F238E27FC236}">
              <a16:creationId xmlns:a16="http://schemas.microsoft.com/office/drawing/2014/main" id="{890EB1BC-48E6-48B0-9222-69B0EB3D987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73" name="Line 285">
          <a:extLst>
            <a:ext uri="{FF2B5EF4-FFF2-40B4-BE49-F238E27FC236}">
              <a16:creationId xmlns:a16="http://schemas.microsoft.com/office/drawing/2014/main" id="{157AB44E-A4D1-42B8-85BE-72C065516223}"/>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74" name="Line 286">
          <a:extLst>
            <a:ext uri="{FF2B5EF4-FFF2-40B4-BE49-F238E27FC236}">
              <a16:creationId xmlns:a16="http://schemas.microsoft.com/office/drawing/2014/main" id="{92527172-FBE9-46D1-8966-7274DF96618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75" name="Line 288">
          <a:extLst>
            <a:ext uri="{FF2B5EF4-FFF2-40B4-BE49-F238E27FC236}">
              <a16:creationId xmlns:a16="http://schemas.microsoft.com/office/drawing/2014/main" id="{EBBAB532-DAC6-45C1-9EFE-5718A6DFA7C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76" name="Line 289">
          <a:extLst>
            <a:ext uri="{FF2B5EF4-FFF2-40B4-BE49-F238E27FC236}">
              <a16:creationId xmlns:a16="http://schemas.microsoft.com/office/drawing/2014/main" id="{0E6C6FB6-084D-48E3-B1AF-A0D439AFAFC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377" name="Line 293">
          <a:extLst>
            <a:ext uri="{FF2B5EF4-FFF2-40B4-BE49-F238E27FC236}">
              <a16:creationId xmlns:a16="http://schemas.microsoft.com/office/drawing/2014/main" id="{8638B3D3-4CED-4970-A5F6-2B6B064AD5E8}"/>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78" name="Line 308">
          <a:extLst>
            <a:ext uri="{FF2B5EF4-FFF2-40B4-BE49-F238E27FC236}">
              <a16:creationId xmlns:a16="http://schemas.microsoft.com/office/drawing/2014/main" id="{6F337419-9730-4124-A1EE-5BCC20FC1CB3}"/>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79" name="Line 309">
          <a:extLst>
            <a:ext uri="{FF2B5EF4-FFF2-40B4-BE49-F238E27FC236}">
              <a16:creationId xmlns:a16="http://schemas.microsoft.com/office/drawing/2014/main" id="{E46D04E6-7A2C-48D7-ADCE-C11B30996EA9}"/>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80" name="Line 333">
          <a:extLst>
            <a:ext uri="{FF2B5EF4-FFF2-40B4-BE49-F238E27FC236}">
              <a16:creationId xmlns:a16="http://schemas.microsoft.com/office/drawing/2014/main" id="{03CF3A45-8574-4F4D-BAC1-386CCACD23E7}"/>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81" name="Line 334">
          <a:extLst>
            <a:ext uri="{FF2B5EF4-FFF2-40B4-BE49-F238E27FC236}">
              <a16:creationId xmlns:a16="http://schemas.microsoft.com/office/drawing/2014/main" id="{635F387B-A7DA-4A2A-9486-BF5D48044ED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82" name="Line 340">
          <a:extLst>
            <a:ext uri="{FF2B5EF4-FFF2-40B4-BE49-F238E27FC236}">
              <a16:creationId xmlns:a16="http://schemas.microsoft.com/office/drawing/2014/main" id="{398604C9-984F-4042-A94C-0D49D984DE6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83" name="Line 341">
          <a:extLst>
            <a:ext uri="{FF2B5EF4-FFF2-40B4-BE49-F238E27FC236}">
              <a16:creationId xmlns:a16="http://schemas.microsoft.com/office/drawing/2014/main" id="{EE8D0478-E1AF-459D-9A92-A658F733634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384" name="Line 222">
          <a:extLst>
            <a:ext uri="{FF2B5EF4-FFF2-40B4-BE49-F238E27FC236}">
              <a16:creationId xmlns:a16="http://schemas.microsoft.com/office/drawing/2014/main" id="{B38118BC-D4B9-4E87-8777-E94B5B5636BF}"/>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385" name="Line 223">
          <a:extLst>
            <a:ext uri="{FF2B5EF4-FFF2-40B4-BE49-F238E27FC236}">
              <a16:creationId xmlns:a16="http://schemas.microsoft.com/office/drawing/2014/main" id="{9068500E-7036-4BB5-8E6D-868A8FC6E772}"/>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386" name="Line 224">
          <a:extLst>
            <a:ext uri="{FF2B5EF4-FFF2-40B4-BE49-F238E27FC236}">
              <a16:creationId xmlns:a16="http://schemas.microsoft.com/office/drawing/2014/main" id="{35DC331B-6D53-4131-B250-0C8FA38FB97E}"/>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87" name="Line 226">
          <a:extLst>
            <a:ext uri="{FF2B5EF4-FFF2-40B4-BE49-F238E27FC236}">
              <a16:creationId xmlns:a16="http://schemas.microsoft.com/office/drawing/2014/main" id="{D2A02EBB-8595-43E6-91F3-5FA88CA9D13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88" name="Line 227">
          <a:extLst>
            <a:ext uri="{FF2B5EF4-FFF2-40B4-BE49-F238E27FC236}">
              <a16:creationId xmlns:a16="http://schemas.microsoft.com/office/drawing/2014/main" id="{4C6D546D-95F3-4179-B16F-EF9DFBEF9B0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89" name="Line 229">
          <a:extLst>
            <a:ext uri="{FF2B5EF4-FFF2-40B4-BE49-F238E27FC236}">
              <a16:creationId xmlns:a16="http://schemas.microsoft.com/office/drawing/2014/main" id="{47AB2095-8B56-4443-A1A3-D4A05640D7DD}"/>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90" name="Line 230">
          <a:extLst>
            <a:ext uri="{FF2B5EF4-FFF2-40B4-BE49-F238E27FC236}">
              <a16:creationId xmlns:a16="http://schemas.microsoft.com/office/drawing/2014/main" id="{21F03560-45BB-400B-8C48-0665A604EF91}"/>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91" name="Line 232">
          <a:extLst>
            <a:ext uri="{FF2B5EF4-FFF2-40B4-BE49-F238E27FC236}">
              <a16:creationId xmlns:a16="http://schemas.microsoft.com/office/drawing/2014/main" id="{60F7E1CF-3CAB-429A-B773-449753081006}"/>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92" name="Line 233">
          <a:extLst>
            <a:ext uri="{FF2B5EF4-FFF2-40B4-BE49-F238E27FC236}">
              <a16:creationId xmlns:a16="http://schemas.microsoft.com/office/drawing/2014/main" id="{E9EC470F-EDEE-4966-8151-0B16E93E1B4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393" name="Line 235">
          <a:extLst>
            <a:ext uri="{FF2B5EF4-FFF2-40B4-BE49-F238E27FC236}">
              <a16:creationId xmlns:a16="http://schemas.microsoft.com/office/drawing/2014/main" id="{52D9CC2C-7460-4FD4-ACB6-A2E5E58F9D9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394" name="Line 236">
          <a:extLst>
            <a:ext uri="{FF2B5EF4-FFF2-40B4-BE49-F238E27FC236}">
              <a16:creationId xmlns:a16="http://schemas.microsoft.com/office/drawing/2014/main" id="{0CBE5A1D-700E-41DF-ACCD-CDAF1B9D32F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1395" name="Line 238">
          <a:extLst>
            <a:ext uri="{FF2B5EF4-FFF2-40B4-BE49-F238E27FC236}">
              <a16:creationId xmlns:a16="http://schemas.microsoft.com/office/drawing/2014/main" id="{C36013BD-D7B5-4C6E-896C-61A89D13928F}"/>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1396" name="Line 239">
          <a:extLst>
            <a:ext uri="{FF2B5EF4-FFF2-40B4-BE49-F238E27FC236}">
              <a16:creationId xmlns:a16="http://schemas.microsoft.com/office/drawing/2014/main" id="{5239E0C5-DE2B-4B11-BF8C-113B91DADA93}"/>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1397" name="Line 240">
          <a:extLst>
            <a:ext uri="{FF2B5EF4-FFF2-40B4-BE49-F238E27FC236}">
              <a16:creationId xmlns:a16="http://schemas.microsoft.com/office/drawing/2014/main" id="{6F43B159-F36D-4A51-9641-A80C715690F2}"/>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1398" name="Line 241">
          <a:extLst>
            <a:ext uri="{FF2B5EF4-FFF2-40B4-BE49-F238E27FC236}">
              <a16:creationId xmlns:a16="http://schemas.microsoft.com/office/drawing/2014/main" id="{A355B16E-7ED2-4B6A-BDA4-7648CA1A1066}"/>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1399" name="Line 242">
          <a:extLst>
            <a:ext uri="{FF2B5EF4-FFF2-40B4-BE49-F238E27FC236}">
              <a16:creationId xmlns:a16="http://schemas.microsoft.com/office/drawing/2014/main" id="{1C550510-CBA2-401E-BBE2-CB8804B70EA3}"/>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400" name="Line 250">
          <a:extLst>
            <a:ext uri="{FF2B5EF4-FFF2-40B4-BE49-F238E27FC236}">
              <a16:creationId xmlns:a16="http://schemas.microsoft.com/office/drawing/2014/main" id="{58E9BB7B-C488-471F-9D24-0923E807EBF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01" name="Line 251">
          <a:extLst>
            <a:ext uri="{FF2B5EF4-FFF2-40B4-BE49-F238E27FC236}">
              <a16:creationId xmlns:a16="http://schemas.microsoft.com/office/drawing/2014/main" id="{4CB5877B-E28F-4CFB-A138-37CDE63C9AC8}"/>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402" name="Line 259">
          <a:extLst>
            <a:ext uri="{FF2B5EF4-FFF2-40B4-BE49-F238E27FC236}">
              <a16:creationId xmlns:a16="http://schemas.microsoft.com/office/drawing/2014/main" id="{E73D79B3-945A-44FC-8EC2-36220C2F3A7B}"/>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03" name="Line 260">
          <a:extLst>
            <a:ext uri="{FF2B5EF4-FFF2-40B4-BE49-F238E27FC236}">
              <a16:creationId xmlns:a16="http://schemas.microsoft.com/office/drawing/2014/main" id="{8234E5DF-5735-4CB3-97A8-811CE61189F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404" name="Line 263">
          <a:extLst>
            <a:ext uri="{FF2B5EF4-FFF2-40B4-BE49-F238E27FC236}">
              <a16:creationId xmlns:a16="http://schemas.microsoft.com/office/drawing/2014/main" id="{AC1ADE08-18B8-4D20-A038-A889E3361740}"/>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05" name="Line 264">
          <a:extLst>
            <a:ext uri="{FF2B5EF4-FFF2-40B4-BE49-F238E27FC236}">
              <a16:creationId xmlns:a16="http://schemas.microsoft.com/office/drawing/2014/main" id="{86881015-52DD-461B-A1CA-856008336CF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406" name="Line 222">
          <a:extLst>
            <a:ext uri="{FF2B5EF4-FFF2-40B4-BE49-F238E27FC236}">
              <a16:creationId xmlns:a16="http://schemas.microsoft.com/office/drawing/2014/main" id="{49159794-DA42-412F-811F-E7F7B66805B9}"/>
            </a:ext>
          </a:extLst>
        </xdr:cNvPr>
        <xdr:cNvSpPr>
          <a:spLocks noChangeShapeType="1"/>
        </xdr:cNvSpPr>
      </xdr:nvSpPr>
      <xdr:spPr bwMode="auto">
        <a:xfrm>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266700</xdr:colOff>
      <xdr:row>0</xdr:row>
      <xdr:rowOff>209550</xdr:rowOff>
    </xdr:from>
    <xdr:to>
      <xdr:col>2</xdr:col>
      <xdr:colOff>447675</xdr:colOff>
      <xdr:row>0</xdr:row>
      <xdr:rowOff>209550</xdr:rowOff>
    </xdr:to>
    <xdr:sp macro="" textlink="">
      <xdr:nvSpPr>
        <xdr:cNvPr id="1407" name="Line 223">
          <a:extLst>
            <a:ext uri="{FF2B5EF4-FFF2-40B4-BE49-F238E27FC236}">
              <a16:creationId xmlns:a16="http://schemas.microsoft.com/office/drawing/2014/main" id="{4CC72421-28CD-4009-991D-0A3667D02260}"/>
            </a:ext>
          </a:extLst>
        </xdr:cNvPr>
        <xdr:cNvSpPr>
          <a:spLocks noChangeShapeType="1"/>
        </xdr:cNvSpPr>
      </xdr:nvSpPr>
      <xdr:spPr bwMode="auto">
        <a:xfrm flipH="1">
          <a:off x="6553200" y="209550"/>
          <a:ext cx="1809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276225</xdr:colOff>
      <xdr:row>0</xdr:row>
      <xdr:rowOff>209550</xdr:rowOff>
    </xdr:from>
    <xdr:to>
      <xdr:col>2</xdr:col>
      <xdr:colOff>447675</xdr:colOff>
      <xdr:row>0</xdr:row>
      <xdr:rowOff>209550</xdr:rowOff>
    </xdr:to>
    <xdr:sp macro="" textlink="">
      <xdr:nvSpPr>
        <xdr:cNvPr id="1408" name="Line 224">
          <a:extLst>
            <a:ext uri="{FF2B5EF4-FFF2-40B4-BE49-F238E27FC236}">
              <a16:creationId xmlns:a16="http://schemas.microsoft.com/office/drawing/2014/main" id="{B31224F1-DB98-4DAB-8647-863DB64D00C5}"/>
            </a:ext>
          </a:extLst>
        </xdr:cNvPr>
        <xdr:cNvSpPr>
          <a:spLocks noChangeShapeType="1"/>
        </xdr:cNvSpPr>
      </xdr:nvSpPr>
      <xdr:spPr bwMode="auto">
        <a:xfrm>
          <a:off x="6562725" y="209550"/>
          <a:ext cx="1714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409" name="Line 226">
          <a:extLst>
            <a:ext uri="{FF2B5EF4-FFF2-40B4-BE49-F238E27FC236}">
              <a16:creationId xmlns:a16="http://schemas.microsoft.com/office/drawing/2014/main" id="{138E29B8-5F8B-4252-91A9-0A4045A98AAA}"/>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10" name="Line 227">
          <a:extLst>
            <a:ext uri="{FF2B5EF4-FFF2-40B4-BE49-F238E27FC236}">
              <a16:creationId xmlns:a16="http://schemas.microsoft.com/office/drawing/2014/main" id="{5995A8C1-2394-4900-856B-394436CFB26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411" name="Line 229">
          <a:extLst>
            <a:ext uri="{FF2B5EF4-FFF2-40B4-BE49-F238E27FC236}">
              <a16:creationId xmlns:a16="http://schemas.microsoft.com/office/drawing/2014/main" id="{C5177E52-034E-4B7D-8EF5-32BD38ABA88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12" name="Line 230">
          <a:extLst>
            <a:ext uri="{FF2B5EF4-FFF2-40B4-BE49-F238E27FC236}">
              <a16:creationId xmlns:a16="http://schemas.microsoft.com/office/drawing/2014/main" id="{DAC3FC1A-E8C1-4FA6-918C-2BDC3EEA0BD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413" name="Line 232">
          <a:extLst>
            <a:ext uri="{FF2B5EF4-FFF2-40B4-BE49-F238E27FC236}">
              <a16:creationId xmlns:a16="http://schemas.microsoft.com/office/drawing/2014/main" id="{38CB9C3F-11E4-4949-8865-326A957176DE}"/>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14" name="Line 233">
          <a:extLst>
            <a:ext uri="{FF2B5EF4-FFF2-40B4-BE49-F238E27FC236}">
              <a16:creationId xmlns:a16="http://schemas.microsoft.com/office/drawing/2014/main" id="{8041F306-346E-4156-8788-1AEB6FA6011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415" name="Line 235">
          <a:extLst>
            <a:ext uri="{FF2B5EF4-FFF2-40B4-BE49-F238E27FC236}">
              <a16:creationId xmlns:a16="http://schemas.microsoft.com/office/drawing/2014/main" id="{53B2C783-0806-4E3D-8D2D-71F56B97693C}"/>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16" name="Line 236">
          <a:extLst>
            <a:ext uri="{FF2B5EF4-FFF2-40B4-BE49-F238E27FC236}">
              <a16:creationId xmlns:a16="http://schemas.microsoft.com/office/drawing/2014/main" id="{FC8FD4FA-06FC-4DDA-AC82-362F41ADAEA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361950</xdr:colOff>
      <xdr:row>0</xdr:row>
      <xdr:rowOff>209550</xdr:rowOff>
    </xdr:to>
    <xdr:sp macro="" textlink="">
      <xdr:nvSpPr>
        <xdr:cNvPr id="1417" name="Line 238">
          <a:extLst>
            <a:ext uri="{FF2B5EF4-FFF2-40B4-BE49-F238E27FC236}">
              <a16:creationId xmlns:a16="http://schemas.microsoft.com/office/drawing/2014/main" id="{1E412022-12E6-4779-A4D0-7184561B8CFB}"/>
            </a:ext>
          </a:extLst>
        </xdr:cNvPr>
        <xdr:cNvSpPr>
          <a:spLocks noChangeShapeType="1"/>
        </xdr:cNvSpPr>
      </xdr:nvSpPr>
      <xdr:spPr bwMode="auto">
        <a:xfrm flipH="1">
          <a:off x="6638925" y="209550"/>
          <a:ext cx="95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352425</xdr:colOff>
      <xdr:row>0</xdr:row>
      <xdr:rowOff>209550</xdr:rowOff>
    </xdr:to>
    <xdr:sp macro="" textlink="">
      <xdr:nvSpPr>
        <xdr:cNvPr id="1418" name="Line 239">
          <a:extLst>
            <a:ext uri="{FF2B5EF4-FFF2-40B4-BE49-F238E27FC236}">
              <a16:creationId xmlns:a16="http://schemas.microsoft.com/office/drawing/2014/main" id="{8C7B8D68-EA2C-4E20-B519-2384B87A48A5}"/>
            </a:ext>
          </a:extLst>
        </xdr:cNvPr>
        <xdr:cNvSpPr>
          <a:spLocks noChangeShapeType="1"/>
        </xdr:cNvSpPr>
      </xdr:nvSpPr>
      <xdr:spPr bwMode="auto">
        <a:xfrm>
          <a:off x="6572250" y="209550"/>
          <a:ext cx="666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285750</xdr:colOff>
      <xdr:row>0</xdr:row>
      <xdr:rowOff>209550</xdr:rowOff>
    </xdr:from>
    <xdr:to>
      <xdr:col>2</xdr:col>
      <xdr:colOff>361950</xdr:colOff>
      <xdr:row>0</xdr:row>
      <xdr:rowOff>209550</xdr:rowOff>
    </xdr:to>
    <xdr:sp macro="" textlink="">
      <xdr:nvSpPr>
        <xdr:cNvPr id="1419" name="Line 240">
          <a:extLst>
            <a:ext uri="{FF2B5EF4-FFF2-40B4-BE49-F238E27FC236}">
              <a16:creationId xmlns:a16="http://schemas.microsoft.com/office/drawing/2014/main" id="{FD23719E-8DF8-4DFD-9A55-3360589B3D43}"/>
            </a:ext>
          </a:extLst>
        </xdr:cNvPr>
        <xdr:cNvSpPr>
          <a:spLocks noChangeShapeType="1"/>
        </xdr:cNvSpPr>
      </xdr:nvSpPr>
      <xdr:spPr bwMode="auto">
        <a:xfrm flipH="1">
          <a:off x="6572250" y="209550"/>
          <a:ext cx="762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361950</xdr:colOff>
      <xdr:row>0</xdr:row>
      <xdr:rowOff>209550</xdr:rowOff>
    </xdr:from>
    <xdr:to>
      <xdr:col>2</xdr:col>
      <xdr:colOff>447675</xdr:colOff>
      <xdr:row>0</xdr:row>
      <xdr:rowOff>209550</xdr:rowOff>
    </xdr:to>
    <xdr:sp macro="" textlink="">
      <xdr:nvSpPr>
        <xdr:cNvPr id="1420" name="Line 241">
          <a:extLst>
            <a:ext uri="{FF2B5EF4-FFF2-40B4-BE49-F238E27FC236}">
              <a16:creationId xmlns:a16="http://schemas.microsoft.com/office/drawing/2014/main" id="{FDED3513-4213-4E17-B142-0FE9AF3F5460}"/>
            </a:ext>
          </a:extLst>
        </xdr:cNvPr>
        <xdr:cNvSpPr>
          <a:spLocks noChangeShapeType="1"/>
        </xdr:cNvSpPr>
      </xdr:nvSpPr>
      <xdr:spPr bwMode="auto">
        <a:xfrm flipH="1">
          <a:off x="6648450" y="209550"/>
          <a:ext cx="857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352425</xdr:colOff>
      <xdr:row>0</xdr:row>
      <xdr:rowOff>209550</xdr:rowOff>
    </xdr:from>
    <xdr:to>
      <xdr:col>2</xdr:col>
      <xdr:colOff>447675</xdr:colOff>
      <xdr:row>0</xdr:row>
      <xdr:rowOff>209550</xdr:rowOff>
    </xdr:to>
    <xdr:sp macro="" textlink="">
      <xdr:nvSpPr>
        <xdr:cNvPr id="1421" name="Line 242">
          <a:extLst>
            <a:ext uri="{FF2B5EF4-FFF2-40B4-BE49-F238E27FC236}">
              <a16:creationId xmlns:a16="http://schemas.microsoft.com/office/drawing/2014/main" id="{01838D84-0CA7-4DB6-B8E4-DDD54B51D982}"/>
            </a:ext>
          </a:extLst>
        </xdr:cNvPr>
        <xdr:cNvSpPr>
          <a:spLocks noChangeShapeType="1"/>
        </xdr:cNvSpPr>
      </xdr:nvSpPr>
      <xdr:spPr bwMode="auto">
        <a:xfrm>
          <a:off x="6638925" y="209550"/>
          <a:ext cx="9525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422" name="Line 250">
          <a:extLst>
            <a:ext uri="{FF2B5EF4-FFF2-40B4-BE49-F238E27FC236}">
              <a16:creationId xmlns:a16="http://schemas.microsoft.com/office/drawing/2014/main" id="{466DF70F-F11E-4545-91DC-8D242B9AD02F}"/>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23" name="Line 251">
          <a:extLst>
            <a:ext uri="{FF2B5EF4-FFF2-40B4-BE49-F238E27FC236}">
              <a16:creationId xmlns:a16="http://schemas.microsoft.com/office/drawing/2014/main" id="{20CECDC0-18E6-4F29-81D3-190F3040AB9B}"/>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424" name="Line 259">
          <a:extLst>
            <a:ext uri="{FF2B5EF4-FFF2-40B4-BE49-F238E27FC236}">
              <a16:creationId xmlns:a16="http://schemas.microsoft.com/office/drawing/2014/main" id="{AD167B63-1B07-4CC3-9AE5-EA3913D10225}"/>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25" name="Line 260">
          <a:extLst>
            <a:ext uri="{FF2B5EF4-FFF2-40B4-BE49-F238E27FC236}">
              <a16:creationId xmlns:a16="http://schemas.microsoft.com/office/drawing/2014/main" id="{5673C34F-D892-4AAD-B00A-A005E6F14576}"/>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426" name="Line 263">
          <a:extLst>
            <a:ext uri="{FF2B5EF4-FFF2-40B4-BE49-F238E27FC236}">
              <a16:creationId xmlns:a16="http://schemas.microsoft.com/office/drawing/2014/main" id="{63767635-FCD4-428D-A813-3B7BFD1A66F8}"/>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27" name="Line 264">
          <a:extLst>
            <a:ext uri="{FF2B5EF4-FFF2-40B4-BE49-F238E27FC236}">
              <a16:creationId xmlns:a16="http://schemas.microsoft.com/office/drawing/2014/main" id="{A15F936C-4E71-4E83-AA1F-B479746E6E8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428" name="Line 266">
          <a:extLst>
            <a:ext uri="{FF2B5EF4-FFF2-40B4-BE49-F238E27FC236}">
              <a16:creationId xmlns:a16="http://schemas.microsoft.com/office/drawing/2014/main" id="{A0C46442-283D-485B-B6C8-F7913EE68BC6}"/>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29" name="Line 267">
          <a:extLst>
            <a:ext uri="{FF2B5EF4-FFF2-40B4-BE49-F238E27FC236}">
              <a16:creationId xmlns:a16="http://schemas.microsoft.com/office/drawing/2014/main" id="{A4E12494-AB04-414A-BE5C-05299D41FC9A}"/>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430" name="Line 285">
          <a:extLst>
            <a:ext uri="{FF2B5EF4-FFF2-40B4-BE49-F238E27FC236}">
              <a16:creationId xmlns:a16="http://schemas.microsoft.com/office/drawing/2014/main" id="{91D2320D-C857-45CB-8EC5-6B0CC3DDC5F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31" name="Line 286">
          <a:extLst>
            <a:ext uri="{FF2B5EF4-FFF2-40B4-BE49-F238E27FC236}">
              <a16:creationId xmlns:a16="http://schemas.microsoft.com/office/drawing/2014/main" id="{4CC6FF4F-79BF-4161-A9C3-A3BA424EEECD}"/>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432" name="Line 288">
          <a:extLst>
            <a:ext uri="{FF2B5EF4-FFF2-40B4-BE49-F238E27FC236}">
              <a16:creationId xmlns:a16="http://schemas.microsoft.com/office/drawing/2014/main" id="{9B4665E5-DC6C-432C-BFAE-B379920BC40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33" name="Line 289">
          <a:extLst>
            <a:ext uri="{FF2B5EF4-FFF2-40B4-BE49-F238E27FC236}">
              <a16:creationId xmlns:a16="http://schemas.microsoft.com/office/drawing/2014/main" id="{1B0B071B-FB28-48D2-8954-B119DBB07D5E}"/>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34" name="Line 308">
          <a:extLst>
            <a:ext uri="{FF2B5EF4-FFF2-40B4-BE49-F238E27FC236}">
              <a16:creationId xmlns:a16="http://schemas.microsoft.com/office/drawing/2014/main" id="{CB108D49-3A1A-4278-98DD-4F6EFA6F7E41}"/>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35" name="Line 309">
          <a:extLst>
            <a:ext uri="{FF2B5EF4-FFF2-40B4-BE49-F238E27FC236}">
              <a16:creationId xmlns:a16="http://schemas.microsoft.com/office/drawing/2014/main" id="{97E92A03-C1D6-41E6-9487-55F68ADA7EF7}"/>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36" name="Line 333">
          <a:extLst>
            <a:ext uri="{FF2B5EF4-FFF2-40B4-BE49-F238E27FC236}">
              <a16:creationId xmlns:a16="http://schemas.microsoft.com/office/drawing/2014/main" id="{AE163453-644C-4D4A-A36B-F42E100B5ED0}"/>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37" name="Line 334">
          <a:extLst>
            <a:ext uri="{FF2B5EF4-FFF2-40B4-BE49-F238E27FC236}">
              <a16:creationId xmlns:a16="http://schemas.microsoft.com/office/drawing/2014/main" id="{5ABB807F-15DB-4A0E-9914-BA87C862AEF3}"/>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438" name="Line 340">
          <a:extLst>
            <a:ext uri="{FF2B5EF4-FFF2-40B4-BE49-F238E27FC236}">
              <a16:creationId xmlns:a16="http://schemas.microsoft.com/office/drawing/2014/main" id="{4214AAAC-0BCE-4980-B8E5-24EC09269C11}"/>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39" name="Line 341">
          <a:extLst>
            <a:ext uri="{FF2B5EF4-FFF2-40B4-BE49-F238E27FC236}">
              <a16:creationId xmlns:a16="http://schemas.microsoft.com/office/drawing/2014/main" id="{E36D3531-DC58-49EB-8C72-BA9DA63D589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323850</xdr:colOff>
      <xdr:row>0</xdr:row>
      <xdr:rowOff>209550</xdr:rowOff>
    </xdr:from>
    <xdr:to>
      <xdr:col>2</xdr:col>
      <xdr:colOff>447675</xdr:colOff>
      <xdr:row>0</xdr:row>
      <xdr:rowOff>209550</xdr:rowOff>
    </xdr:to>
    <xdr:sp macro="" textlink="">
      <xdr:nvSpPr>
        <xdr:cNvPr id="1440" name="Line 248">
          <a:extLst>
            <a:ext uri="{FF2B5EF4-FFF2-40B4-BE49-F238E27FC236}">
              <a16:creationId xmlns:a16="http://schemas.microsoft.com/office/drawing/2014/main" id="{B4FF0D06-633E-440C-8F0A-7E7F1C3D2D46}"/>
            </a:ext>
          </a:extLst>
        </xdr:cNvPr>
        <xdr:cNvSpPr>
          <a:spLocks noChangeShapeType="1"/>
        </xdr:cNvSpPr>
      </xdr:nvSpPr>
      <xdr:spPr bwMode="auto">
        <a:xfrm>
          <a:off x="6610350" y="209550"/>
          <a:ext cx="12382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323850</xdr:colOff>
      <xdr:row>0</xdr:row>
      <xdr:rowOff>209550</xdr:rowOff>
    </xdr:from>
    <xdr:to>
      <xdr:col>2</xdr:col>
      <xdr:colOff>438150</xdr:colOff>
      <xdr:row>0</xdr:row>
      <xdr:rowOff>209550</xdr:rowOff>
    </xdr:to>
    <xdr:sp macro="" textlink="">
      <xdr:nvSpPr>
        <xdr:cNvPr id="1441" name="Line 248">
          <a:extLst>
            <a:ext uri="{FF2B5EF4-FFF2-40B4-BE49-F238E27FC236}">
              <a16:creationId xmlns:a16="http://schemas.microsoft.com/office/drawing/2014/main" id="{8B6AA56E-72EE-47D2-8432-0D2E51428848}"/>
            </a:ext>
          </a:extLst>
        </xdr:cNvPr>
        <xdr:cNvSpPr>
          <a:spLocks noChangeShapeType="1"/>
        </xdr:cNvSpPr>
      </xdr:nvSpPr>
      <xdr:spPr bwMode="auto">
        <a:xfrm flipH="1">
          <a:off x="6610350" y="209550"/>
          <a:ext cx="1143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442" name="Line 340">
          <a:extLst>
            <a:ext uri="{FF2B5EF4-FFF2-40B4-BE49-F238E27FC236}">
              <a16:creationId xmlns:a16="http://schemas.microsoft.com/office/drawing/2014/main" id="{C6780614-F20E-4EDB-B6EE-E5254CC32DE6}"/>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43" name="Line 341">
          <a:extLst>
            <a:ext uri="{FF2B5EF4-FFF2-40B4-BE49-F238E27FC236}">
              <a16:creationId xmlns:a16="http://schemas.microsoft.com/office/drawing/2014/main" id="{1FA8C7C1-98DD-405C-B087-AB23ABB58780}"/>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444" name="Line 340">
          <a:extLst>
            <a:ext uri="{FF2B5EF4-FFF2-40B4-BE49-F238E27FC236}">
              <a16:creationId xmlns:a16="http://schemas.microsoft.com/office/drawing/2014/main" id="{C565D66A-F150-44B6-AA2D-2C04903506F7}"/>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45" name="Line 341">
          <a:extLst>
            <a:ext uri="{FF2B5EF4-FFF2-40B4-BE49-F238E27FC236}">
              <a16:creationId xmlns:a16="http://schemas.microsoft.com/office/drawing/2014/main" id="{1672807F-3B28-41B4-BAF8-0AB23FD8D26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295275</xdr:colOff>
      <xdr:row>0</xdr:row>
      <xdr:rowOff>209550</xdr:rowOff>
    </xdr:from>
    <xdr:to>
      <xdr:col>2</xdr:col>
      <xdr:colOff>447675</xdr:colOff>
      <xdr:row>0</xdr:row>
      <xdr:rowOff>209550</xdr:rowOff>
    </xdr:to>
    <xdr:sp macro="" textlink="">
      <xdr:nvSpPr>
        <xdr:cNvPr id="1446" name="Line 340">
          <a:extLst>
            <a:ext uri="{FF2B5EF4-FFF2-40B4-BE49-F238E27FC236}">
              <a16:creationId xmlns:a16="http://schemas.microsoft.com/office/drawing/2014/main" id="{B8E74022-2CFC-4281-9657-2D6EFAF22639}"/>
            </a:ext>
          </a:extLst>
        </xdr:cNvPr>
        <xdr:cNvSpPr>
          <a:spLocks noChangeShapeType="1"/>
        </xdr:cNvSpPr>
      </xdr:nvSpPr>
      <xdr:spPr bwMode="auto">
        <a:xfrm>
          <a:off x="6581775" y="209550"/>
          <a:ext cx="152400"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47" name="Line 341">
          <a:extLst>
            <a:ext uri="{FF2B5EF4-FFF2-40B4-BE49-F238E27FC236}">
              <a16:creationId xmlns:a16="http://schemas.microsoft.com/office/drawing/2014/main" id="{616586F3-5CA5-4FA9-91E6-C6D0E0C530B4}"/>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48" name="Line 333">
          <a:extLst>
            <a:ext uri="{FF2B5EF4-FFF2-40B4-BE49-F238E27FC236}">
              <a16:creationId xmlns:a16="http://schemas.microsoft.com/office/drawing/2014/main" id="{7CA2B7BE-D6C5-4653-BB52-3CBB93B0F91F}"/>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49" name="Line 334">
          <a:extLst>
            <a:ext uri="{FF2B5EF4-FFF2-40B4-BE49-F238E27FC236}">
              <a16:creationId xmlns:a16="http://schemas.microsoft.com/office/drawing/2014/main" id="{66103BF0-A310-479C-B329-DDB9BAA4B2AC}"/>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50" name="Line 333">
          <a:extLst>
            <a:ext uri="{FF2B5EF4-FFF2-40B4-BE49-F238E27FC236}">
              <a16:creationId xmlns:a16="http://schemas.microsoft.com/office/drawing/2014/main" id="{9EFB2F67-8383-487E-A6DF-11D9D775C50A}"/>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51" name="Line 334">
          <a:extLst>
            <a:ext uri="{FF2B5EF4-FFF2-40B4-BE49-F238E27FC236}">
              <a16:creationId xmlns:a16="http://schemas.microsoft.com/office/drawing/2014/main" id="{36C76669-EBEC-432E-A5AE-E456E2CB6AE9}"/>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52" name="Line 333">
          <a:extLst>
            <a:ext uri="{FF2B5EF4-FFF2-40B4-BE49-F238E27FC236}">
              <a16:creationId xmlns:a16="http://schemas.microsoft.com/office/drawing/2014/main" id="{11A76C9D-1FC0-430A-AA30-B6244FD6DA4B}"/>
            </a:ext>
          </a:extLst>
        </xdr:cNvPr>
        <xdr:cNvSpPr>
          <a:spLocks noChangeShapeType="1"/>
        </xdr:cNvSpPr>
      </xdr:nvSpPr>
      <xdr:spPr bwMode="auto">
        <a:xfrm>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0</xdr:row>
      <xdr:rowOff>209550</xdr:rowOff>
    </xdr:from>
    <xdr:to>
      <xdr:col>2</xdr:col>
      <xdr:colOff>447675</xdr:colOff>
      <xdr:row>0</xdr:row>
      <xdr:rowOff>209550</xdr:rowOff>
    </xdr:to>
    <xdr:sp macro="" textlink="">
      <xdr:nvSpPr>
        <xdr:cNvPr id="1453" name="Line 334">
          <a:extLst>
            <a:ext uri="{FF2B5EF4-FFF2-40B4-BE49-F238E27FC236}">
              <a16:creationId xmlns:a16="http://schemas.microsoft.com/office/drawing/2014/main" id="{B4404ECC-7BED-4961-B3E5-4CE725FF3FD5}"/>
            </a:ext>
          </a:extLst>
        </xdr:cNvPr>
        <xdr:cNvSpPr>
          <a:spLocks noChangeShapeType="1"/>
        </xdr:cNvSpPr>
      </xdr:nvSpPr>
      <xdr:spPr bwMode="auto">
        <a:xfrm flipH="1">
          <a:off x="6591300" y="209550"/>
          <a:ext cx="142875"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karer.in.ua/zaporozhskoe-kareroupravlenie.php" TargetMode="External"/><Relationship Id="rId2" Type="http://schemas.openxmlformats.org/officeDocument/2006/relationships/hyperlink" Target="https://www.karer.in.ua/zaporozhskoe-kareroupravlenie.php" TargetMode="External"/><Relationship Id="rId1" Type="http://schemas.openxmlformats.org/officeDocument/2006/relationships/hyperlink" Target="https://www.karer.in.ua/zaporozhskoe-kareroupravlenie.php" TargetMode="External"/><Relationship Id="rId5" Type="http://schemas.openxmlformats.org/officeDocument/2006/relationships/customProperty" Target="../customProperty2.bin"/><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https://leoceramika.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8.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outlinePr summaryBelow="0"/>
    <pageSetUpPr fitToPage="1"/>
  </sheetPr>
  <dimension ref="A2:P468"/>
  <sheetViews>
    <sheetView showGridLines="0" tabSelected="1" zoomScale="70" zoomScaleNormal="70" zoomScaleSheetLayoutView="40" workbookViewId="0">
      <selection activeCell="B11" sqref="B11"/>
    </sheetView>
  </sheetViews>
  <sheetFormatPr defaultColWidth="9.140625" defaultRowHeight="14.25" outlineLevelRow="1" outlineLevelCol="1"/>
  <cols>
    <col min="1" max="1" width="7.85546875" style="59" customWidth="1" outlineLevel="1"/>
    <col min="2" max="2" width="41.140625" style="56" customWidth="1" outlineLevel="1"/>
    <col min="3" max="3" width="35.140625" style="56" customWidth="1" outlineLevel="1"/>
    <col min="4" max="4" width="11.7109375" style="56" customWidth="1"/>
    <col min="5" max="5" width="13.5703125" style="56" customWidth="1"/>
    <col min="6" max="6" width="14.5703125" style="56" customWidth="1" outlineLevel="1"/>
    <col min="7" max="7" width="15.42578125" style="56" customWidth="1" outlineLevel="1"/>
    <col min="8" max="8" width="14.5703125" style="56" customWidth="1" outlineLevel="1"/>
    <col min="9" max="9" width="15.140625" style="56" customWidth="1"/>
    <col min="10" max="10" width="20" style="56" customWidth="1" outlineLevel="1"/>
    <col min="11" max="11" width="18.85546875" style="56" customWidth="1" outlineLevel="1"/>
    <col min="12" max="12" width="26.85546875" style="45" customWidth="1"/>
    <col min="13" max="13" width="8.5703125" style="45" customWidth="1"/>
    <col min="14" max="14" width="12" style="45" customWidth="1"/>
    <col min="15" max="15" width="13.140625" style="45" customWidth="1"/>
    <col min="16" max="16" width="10.5703125" style="45" customWidth="1"/>
    <col min="17" max="16384" width="9.140625" style="45"/>
  </cols>
  <sheetData>
    <row r="2" spans="1:16">
      <c r="D2" s="719" t="s">
        <v>699</v>
      </c>
      <c r="E2" s="719"/>
      <c r="F2" s="719"/>
      <c r="G2" s="719"/>
      <c r="H2" s="719"/>
      <c r="I2" s="719"/>
      <c r="J2" s="232"/>
      <c r="K2" s="189"/>
    </row>
    <row r="3" spans="1:16" ht="15" customHeight="1">
      <c r="B3" s="685" t="s">
        <v>1106</v>
      </c>
      <c r="C3" s="685"/>
      <c r="D3" s="163"/>
      <c r="E3" s="434"/>
      <c r="F3" s="434"/>
      <c r="G3" s="434"/>
      <c r="H3" s="434"/>
      <c r="I3" s="434"/>
    </row>
    <row r="4" spans="1:16" ht="15" customHeight="1">
      <c r="B4" s="56" t="s">
        <v>1105</v>
      </c>
      <c r="D4" s="163"/>
      <c r="E4" s="434"/>
      <c r="F4" s="434"/>
      <c r="G4" s="434"/>
      <c r="H4" s="434"/>
      <c r="I4" s="434"/>
      <c r="L4" s="928"/>
      <c r="M4" s="586" t="s">
        <v>1123</v>
      </c>
    </row>
    <row r="5" spans="1:16" ht="15" customHeight="1">
      <c r="D5" s="163"/>
      <c r="E5" s="434"/>
      <c r="F5" s="434"/>
      <c r="G5" s="434"/>
      <c r="H5" s="434"/>
      <c r="I5" s="434"/>
      <c r="M5" s="587" t="s">
        <v>1124</v>
      </c>
    </row>
    <row r="6" spans="1:16" ht="28.5" customHeight="1">
      <c r="B6" s="56" t="s">
        <v>0</v>
      </c>
      <c r="C6" s="686" t="s">
        <v>698</v>
      </c>
      <c r="D6" s="686"/>
      <c r="E6" s="686"/>
      <c r="F6" s="686"/>
      <c r="G6" s="686"/>
      <c r="H6" s="686"/>
      <c r="I6" s="686"/>
      <c r="J6" s="231"/>
      <c r="K6" s="190"/>
    </row>
    <row r="7" spans="1:16">
      <c r="A7" s="54"/>
      <c r="B7" s="150" t="s">
        <v>1</v>
      </c>
      <c r="C7" s="55" t="s">
        <v>2</v>
      </c>
      <c r="D7" s="720"/>
      <c r="E7" s="720"/>
      <c r="F7" s="720"/>
      <c r="G7" s="720"/>
      <c r="H7" s="720"/>
      <c r="I7" s="720"/>
    </row>
    <row r="8" spans="1:16" ht="74.099999999999994" customHeight="1">
      <c r="A8" s="507" t="s">
        <v>3</v>
      </c>
      <c r="B8" s="508" t="s">
        <v>4</v>
      </c>
      <c r="C8" s="508" t="s">
        <v>5</v>
      </c>
      <c r="D8" s="508" t="s">
        <v>6</v>
      </c>
      <c r="E8" s="508" t="s">
        <v>7</v>
      </c>
      <c r="F8" s="509" t="s">
        <v>1103</v>
      </c>
      <c r="G8" s="509" t="s">
        <v>1104</v>
      </c>
      <c r="H8" s="509" t="s">
        <v>1107</v>
      </c>
      <c r="I8" s="510" t="s">
        <v>1108</v>
      </c>
      <c r="J8" s="511" t="s">
        <v>8</v>
      </c>
      <c r="K8" s="511" t="s">
        <v>9</v>
      </c>
      <c r="L8" s="509" t="s">
        <v>1058</v>
      </c>
      <c r="M8" s="509" t="s">
        <v>6</v>
      </c>
      <c r="N8" s="509" t="s">
        <v>7</v>
      </c>
      <c r="O8" s="509" t="s">
        <v>1059</v>
      </c>
      <c r="P8" s="509" t="s">
        <v>1060</v>
      </c>
    </row>
    <row r="9" spans="1:16" ht="15" customHeight="1">
      <c r="A9" s="192" t="s">
        <v>2</v>
      </c>
      <c r="B9" s="192" t="s">
        <v>10</v>
      </c>
      <c r="C9" s="192" t="s">
        <v>11</v>
      </c>
      <c r="D9" s="192" t="s">
        <v>12</v>
      </c>
      <c r="E9" s="435" t="s">
        <v>13</v>
      </c>
      <c r="F9" s="435" t="s">
        <v>14</v>
      </c>
      <c r="G9" s="435" t="s">
        <v>15</v>
      </c>
      <c r="H9" s="435" t="s">
        <v>16</v>
      </c>
      <c r="I9" s="435" t="s">
        <v>17</v>
      </c>
      <c r="J9" s="177">
        <v>10</v>
      </c>
      <c r="K9" s="177">
        <v>11</v>
      </c>
    </row>
    <row r="10" spans="1:16" s="46" customFormat="1" ht="22.5" customHeight="1">
      <c r="A10" s="512" t="s">
        <v>18</v>
      </c>
      <c r="B10" s="624" t="s">
        <v>19</v>
      </c>
      <c r="C10" s="625"/>
      <c r="D10" s="626"/>
      <c r="E10" s="556"/>
      <c r="F10" s="436"/>
      <c r="G10" s="436"/>
      <c r="H10" s="453"/>
      <c r="I10" s="514">
        <f>(SUM(I11:I26))</f>
        <v>0</v>
      </c>
      <c r="J10" s="179"/>
      <c r="K10" s="179"/>
    </row>
    <row r="11" spans="1:16" s="47" customFormat="1" ht="55.5" customHeight="1" outlineLevel="1">
      <c r="A11" s="181" t="s">
        <v>20</v>
      </c>
      <c r="B11" s="170" t="s">
        <v>21</v>
      </c>
      <c r="C11" s="167" t="s">
        <v>918</v>
      </c>
      <c r="D11" s="219" t="s">
        <v>22</v>
      </c>
      <c r="E11" s="436">
        <v>1</v>
      </c>
      <c r="F11" s="873">
        <v>0</v>
      </c>
      <c r="G11" s="873">
        <v>0</v>
      </c>
      <c r="H11" s="873">
        <v>0</v>
      </c>
      <c r="I11" s="588">
        <f t="shared" ref="I11:I18" si="0">SUM(F11:H11)*E11</f>
        <v>0</v>
      </c>
      <c r="J11" s="491" t="s">
        <v>23</v>
      </c>
      <c r="K11" s="352"/>
    </row>
    <row r="12" spans="1:16" s="47" customFormat="1" ht="54.75" customHeight="1" outlineLevel="1">
      <c r="A12" s="181" t="s">
        <v>24</v>
      </c>
      <c r="B12" s="193" t="s">
        <v>25</v>
      </c>
      <c r="C12" s="194" t="s">
        <v>972</v>
      </c>
      <c r="D12" s="219" t="s">
        <v>22</v>
      </c>
      <c r="E12" s="557">
        <v>1</v>
      </c>
      <c r="F12" s="873">
        <v>0</v>
      </c>
      <c r="G12" s="589"/>
      <c r="H12" s="589"/>
      <c r="I12" s="588">
        <f t="shared" si="0"/>
        <v>0</v>
      </c>
      <c r="J12" s="491" t="s">
        <v>23</v>
      </c>
      <c r="K12" s="352"/>
    </row>
    <row r="13" spans="1:16" s="47" customFormat="1" ht="67.349999999999994" customHeight="1" outlineLevel="1">
      <c r="A13" s="181" t="s">
        <v>26</v>
      </c>
      <c r="B13" s="195" t="s">
        <v>27</v>
      </c>
      <c r="C13" s="172" t="s">
        <v>28</v>
      </c>
      <c r="D13" s="220" t="s">
        <v>29</v>
      </c>
      <c r="E13" s="436">
        <v>1</v>
      </c>
      <c r="F13" s="873">
        <v>0</v>
      </c>
      <c r="G13" s="873">
        <v>0</v>
      </c>
      <c r="H13" s="873">
        <v>0</v>
      </c>
      <c r="I13" s="588">
        <f t="shared" si="0"/>
        <v>0</v>
      </c>
      <c r="J13" s="491" t="s">
        <v>23</v>
      </c>
      <c r="K13" s="352"/>
    </row>
    <row r="14" spans="1:16" s="47" customFormat="1" ht="54.6" customHeight="1" outlineLevel="1">
      <c r="A14" s="181" t="s">
        <v>30</v>
      </c>
      <c r="B14" s="183" t="s">
        <v>31</v>
      </c>
      <c r="C14" s="168" t="s">
        <v>32</v>
      </c>
      <c r="D14" s="221" t="s">
        <v>33</v>
      </c>
      <c r="E14" s="436">
        <v>350</v>
      </c>
      <c r="F14" s="873">
        <v>0</v>
      </c>
      <c r="G14" s="589"/>
      <c r="H14" s="604"/>
      <c r="I14" s="588">
        <f t="shared" ref="I14" si="1">SUM(F14:H14)*E14</f>
        <v>0</v>
      </c>
      <c r="J14" s="492" t="s">
        <v>34</v>
      </c>
      <c r="K14" s="351"/>
    </row>
    <row r="15" spans="1:16" s="47" customFormat="1" ht="44.45" customHeight="1" outlineLevel="1">
      <c r="A15" s="181" t="s">
        <v>35</v>
      </c>
      <c r="B15" s="184" t="s">
        <v>36</v>
      </c>
      <c r="C15" s="171" t="s">
        <v>919</v>
      </c>
      <c r="D15" s="219" t="s">
        <v>37</v>
      </c>
      <c r="E15" s="557">
        <v>150</v>
      </c>
      <c r="F15" s="873">
        <v>0</v>
      </c>
      <c r="G15" s="873">
        <v>0</v>
      </c>
      <c r="H15" s="873">
        <v>0</v>
      </c>
      <c r="I15" s="588">
        <f t="shared" si="0"/>
        <v>0</v>
      </c>
      <c r="J15" s="491" t="s">
        <v>34</v>
      </c>
      <c r="K15" s="352"/>
    </row>
    <row r="16" spans="1:16" s="47" customFormat="1" ht="61.7" customHeight="1" outlineLevel="1">
      <c r="A16" s="181" t="s">
        <v>38</v>
      </c>
      <c r="B16" s="184" t="s">
        <v>39</v>
      </c>
      <c r="C16" s="171" t="s">
        <v>40</v>
      </c>
      <c r="D16" s="219" t="s">
        <v>37</v>
      </c>
      <c r="E16" s="557">
        <v>9</v>
      </c>
      <c r="F16" s="873">
        <v>0</v>
      </c>
      <c r="G16" s="873">
        <v>0</v>
      </c>
      <c r="H16" s="589"/>
      <c r="I16" s="588">
        <f t="shared" si="0"/>
        <v>0</v>
      </c>
      <c r="J16" s="491" t="s">
        <v>34</v>
      </c>
      <c r="K16" s="352"/>
    </row>
    <row r="17" spans="1:11" s="47" customFormat="1" ht="79.349999999999994" customHeight="1" outlineLevel="1">
      <c r="A17" s="181" t="s">
        <v>41</v>
      </c>
      <c r="B17" s="196" t="s">
        <v>42</v>
      </c>
      <c r="C17" s="175" t="s">
        <v>43</v>
      </c>
      <c r="D17" s="222" t="s">
        <v>44</v>
      </c>
      <c r="E17" s="436">
        <v>1</v>
      </c>
      <c r="F17" s="873">
        <v>0</v>
      </c>
      <c r="G17" s="873">
        <v>0</v>
      </c>
      <c r="H17" s="873">
        <v>0</v>
      </c>
      <c r="I17" s="588">
        <f t="shared" si="0"/>
        <v>0</v>
      </c>
      <c r="J17" s="491" t="s">
        <v>45</v>
      </c>
      <c r="K17" s="352"/>
    </row>
    <row r="18" spans="1:11" s="47" customFormat="1" ht="122.45" customHeight="1" outlineLevel="1">
      <c r="A18" s="181" t="s">
        <v>46</v>
      </c>
      <c r="B18" s="196" t="s">
        <v>47</v>
      </c>
      <c r="C18" s="182" t="s">
        <v>48</v>
      </c>
      <c r="D18" s="222" t="s">
        <v>37</v>
      </c>
      <c r="E18" s="436">
        <v>250</v>
      </c>
      <c r="F18" s="873">
        <v>0</v>
      </c>
      <c r="G18" s="873">
        <v>0</v>
      </c>
      <c r="H18" s="873">
        <v>0</v>
      </c>
      <c r="I18" s="588">
        <f t="shared" si="0"/>
        <v>0</v>
      </c>
      <c r="J18" s="491" t="s">
        <v>34</v>
      </c>
      <c r="K18" s="352"/>
    </row>
    <row r="19" spans="1:11" s="48" customFormat="1" ht="24.6" customHeight="1" outlineLevel="1">
      <c r="A19" s="181" t="s">
        <v>49</v>
      </c>
      <c r="B19" s="197" t="s">
        <v>50</v>
      </c>
      <c r="C19" s="198" t="s">
        <v>51</v>
      </c>
      <c r="D19" s="223" t="s">
        <v>52</v>
      </c>
      <c r="E19" s="558">
        <v>200</v>
      </c>
      <c r="F19" s="927">
        <v>0</v>
      </c>
      <c r="G19" s="927">
        <v>0</v>
      </c>
      <c r="H19" s="927">
        <v>0</v>
      </c>
      <c r="I19" s="588">
        <f t="shared" ref="I19" si="2">SUM(F19:H19)*E19</f>
        <v>0</v>
      </c>
      <c r="J19" s="491" t="s">
        <v>34</v>
      </c>
      <c r="K19" s="352"/>
    </row>
    <row r="20" spans="1:11" s="48" customFormat="1" ht="48" customHeight="1" outlineLevel="1">
      <c r="A20" s="181" t="s">
        <v>53</v>
      </c>
      <c r="B20" s="185" t="s">
        <v>54</v>
      </c>
      <c r="C20" s="169" t="s">
        <v>55</v>
      </c>
      <c r="D20" s="224" t="s">
        <v>52</v>
      </c>
      <c r="E20" s="557">
        <v>110</v>
      </c>
      <c r="F20" s="873">
        <v>0</v>
      </c>
      <c r="G20" s="893">
        <v>0</v>
      </c>
      <c r="H20" s="873">
        <v>0</v>
      </c>
      <c r="I20" s="588">
        <f t="shared" ref="I20" si="3">SUM(F20:H20)*E20</f>
        <v>0</v>
      </c>
      <c r="J20" s="491" t="s">
        <v>34</v>
      </c>
      <c r="K20" s="352"/>
    </row>
    <row r="21" spans="1:11" s="47" customFormat="1" ht="60.75" customHeight="1" outlineLevel="1">
      <c r="A21" s="181" t="s">
        <v>56</v>
      </c>
      <c r="B21" s="184" t="s">
        <v>57</v>
      </c>
      <c r="C21" s="171" t="s">
        <v>58</v>
      </c>
      <c r="D21" s="219" t="s">
        <v>59</v>
      </c>
      <c r="E21" s="557">
        <v>5</v>
      </c>
      <c r="F21" s="873">
        <v>0</v>
      </c>
      <c r="G21" s="873">
        <v>0</v>
      </c>
      <c r="H21" s="873">
        <v>0</v>
      </c>
      <c r="I21" s="588">
        <f t="shared" ref="I21:I26" si="4">SUM(F21:H21)*E21</f>
        <v>0</v>
      </c>
      <c r="J21" s="491" t="s">
        <v>34</v>
      </c>
      <c r="K21" s="352"/>
    </row>
    <row r="22" spans="1:11" s="47" customFormat="1" ht="43.5" customHeight="1" outlineLevel="1">
      <c r="A22" s="181" t="s">
        <v>60</v>
      </c>
      <c r="B22" s="184" t="s">
        <v>61</v>
      </c>
      <c r="C22" s="171" t="s">
        <v>62</v>
      </c>
      <c r="D22" s="219" t="s">
        <v>63</v>
      </c>
      <c r="E22" s="557">
        <v>4</v>
      </c>
      <c r="F22" s="873">
        <v>0</v>
      </c>
      <c r="G22" s="589"/>
      <c r="H22" s="589"/>
      <c r="I22" s="588">
        <f t="shared" si="4"/>
        <v>0</v>
      </c>
      <c r="J22" s="491" t="s">
        <v>34</v>
      </c>
      <c r="K22" s="352"/>
    </row>
    <row r="23" spans="1:11" s="47" customFormat="1" ht="24" customHeight="1" outlineLevel="1">
      <c r="A23" s="181" t="s">
        <v>64</v>
      </c>
      <c r="B23" s="185" t="s">
        <v>65</v>
      </c>
      <c r="C23" s="171" t="s">
        <v>66</v>
      </c>
      <c r="D23" s="219" t="s">
        <v>63</v>
      </c>
      <c r="E23" s="557">
        <v>12</v>
      </c>
      <c r="F23" s="893">
        <v>0</v>
      </c>
      <c r="G23" s="893">
        <v>0</v>
      </c>
      <c r="H23" s="893">
        <v>0</v>
      </c>
      <c r="I23" s="588">
        <f t="shared" si="4"/>
        <v>0</v>
      </c>
      <c r="J23" s="491" t="s">
        <v>34</v>
      </c>
      <c r="K23" s="352"/>
    </row>
    <row r="24" spans="1:11" s="47" customFormat="1" ht="50.45" customHeight="1" outlineLevel="1">
      <c r="A24" s="181" t="s">
        <v>67</v>
      </c>
      <c r="B24" s="184" t="s">
        <v>68</v>
      </c>
      <c r="C24" s="171" t="s">
        <v>69</v>
      </c>
      <c r="D24" s="219" t="s">
        <v>70</v>
      </c>
      <c r="E24" s="557">
        <v>5</v>
      </c>
      <c r="F24" s="873">
        <v>0</v>
      </c>
      <c r="G24" s="589"/>
      <c r="H24" s="873">
        <v>0</v>
      </c>
      <c r="I24" s="588">
        <f t="shared" si="4"/>
        <v>0</v>
      </c>
      <c r="J24" s="491" t="s">
        <v>34</v>
      </c>
      <c r="K24" s="352"/>
    </row>
    <row r="25" spans="1:11" s="47" customFormat="1" ht="40.35" customHeight="1" outlineLevel="1">
      <c r="A25" s="181" t="s">
        <v>71</v>
      </c>
      <c r="B25" s="184" t="s">
        <v>973</v>
      </c>
      <c r="C25" s="171" t="s">
        <v>971</v>
      </c>
      <c r="D25" s="219" t="s">
        <v>72</v>
      </c>
      <c r="E25" s="557">
        <f>5*15*170</f>
        <v>12750</v>
      </c>
      <c r="F25" s="873">
        <v>0</v>
      </c>
      <c r="G25" s="873">
        <v>0</v>
      </c>
      <c r="H25" s="873">
        <v>0</v>
      </c>
      <c r="I25" s="588">
        <f t="shared" si="4"/>
        <v>0</v>
      </c>
      <c r="J25" s="491" t="s">
        <v>34</v>
      </c>
      <c r="K25" s="352"/>
    </row>
    <row r="26" spans="1:11" s="47" customFormat="1" ht="56.1" customHeight="1" outlineLevel="1">
      <c r="A26" s="181" t="s">
        <v>73</v>
      </c>
      <c r="B26" s="173" t="s">
        <v>74</v>
      </c>
      <c r="C26" s="176" t="s">
        <v>75</v>
      </c>
      <c r="D26" s="220" t="s">
        <v>63</v>
      </c>
      <c r="E26" s="436">
        <v>2</v>
      </c>
      <c r="F26" s="871">
        <v>0</v>
      </c>
      <c r="G26" s="871">
        <v>0</v>
      </c>
      <c r="H26" s="871">
        <v>0</v>
      </c>
      <c r="I26" s="588">
        <f t="shared" si="4"/>
        <v>0</v>
      </c>
      <c r="J26" s="491" t="s">
        <v>34</v>
      </c>
      <c r="K26" s="352"/>
    </row>
    <row r="27" spans="1:11" s="47" customFormat="1" ht="23.45" customHeight="1">
      <c r="A27" s="515" t="s">
        <v>24</v>
      </c>
      <c r="B27" s="624" t="s">
        <v>938</v>
      </c>
      <c r="C27" s="625"/>
      <c r="D27" s="626"/>
      <c r="E27" s="559"/>
      <c r="F27" s="569"/>
      <c r="G27" s="569"/>
      <c r="H27" s="590"/>
      <c r="I27" s="591">
        <f>SUM(I28:I36)</f>
        <v>0</v>
      </c>
      <c r="J27" s="491"/>
      <c r="K27" s="352"/>
    </row>
    <row r="28" spans="1:11" s="52" customFormat="1" ht="72" customHeight="1" outlineLevel="1">
      <c r="A28" s="181" t="s">
        <v>926</v>
      </c>
      <c r="B28" s="173" t="s">
        <v>77</v>
      </c>
      <c r="C28" s="176" t="s">
        <v>974</v>
      </c>
      <c r="D28" s="220" t="s">
        <v>33</v>
      </c>
      <c r="E28" s="436">
        <v>350</v>
      </c>
      <c r="F28" s="871">
        <v>0</v>
      </c>
      <c r="G28" s="592"/>
      <c r="H28" s="871">
        <v>0</v>
      </c>
      <c r="I28" s="590">
        <f t="shared" ref="I28:I36" si="5">SUM(F28:H28)*E28</f>
        <v>0</v>
      </c>
      <c r="J28" s="491" t="s">
        <v>34</v>
      </c>
      <c r="K28" s="352"/>
    </row>
    <row r="29" spans="1:11" s="52" customFormat="1" ht="69.599999999999994" customHeight="1" outlineLevel="1">
      <c r="A29" s="181" t="s">
        <v>942</v>
      </c>
      <c r="B29" s="428" t="s">
        <v>1025</v>
      </c>
      <c r="C29" s="427" t="s">
        <v>941</v>
      </c>
      <c r="D29" s="433" t="s">
        <v>33</v>
      </c>
      <c r="E29" s="560">
        <v>210</v>
      </c>
      <c r="F29" s="871">
        <v>0</v>
      </c>
      <c r="G29" s="593"/>
      <c r="H29" s="926">
        <v>0</v>
      </c>
      <c r="I29" s="594">
        <f t="shared" si="5"/>
        <v>0</v>
      </c>
      <c r="J29" s="491" t="s">
        <v>34</v>
      </c>
      <c r="K29" s="503"/>
    </row>
    <row r="30" spans="1:11" s="52" customFormat="1" ht="62.45" customHeight="1" outlineLevel="1">
      <c r="A30" s="181" t="s">
        <v>943</v>
      </c>
      <c r="B30" s="173" t="s">
        <v>939</v>
      </c>
      <c r="C30" s="176" t="s">
        <v>940</v>
      </c>
      <c r="D30" s="220" t="s">
        <v>52</v>
      </c>
      <c r="E30" s="436">
        <f>(190+210)*0.5</f>
        <v>200</v>
      </c>
      <c r="F30" s="871">
        <v>0</v>
      </c>
      <c r="G30" s="593"/>
      <c r="H30" s="926">
        <v>0</v>
      </c>
      <c r="I30" s="590">
        <f t="shared" si="5"/>
        <v>0</v>
      </c>
      <c r="J30" s="491" t="s">
        <v>34</v>
      </c>
      <c r="K30" s="352"/>
    </row>
    <row r="31" spans="1:11" s="52" customFormat="1" ht="77.45" customHeight="1" outlineLevel="1">
      <c r="A31" s="181" t="s">
        <v>944</v>
      </c>
      <c r="B31" s="173" t="s">
        <v>1024</v>
      </c>
      <c r="C31" s="176" t="s">
        <v>975</v>
      </c>
      <c r="D31" s="220" t="s">
        <v>37</v>
      </c>
      <c r="E31" s="436">
        <v>190</v>
      </c>
      <c r="F31" s="871">
        <v>0</v>
      </c>
      <c r="G31" s="592"/>
      <c r="H31" s="871">
        <v>0</v>
      </c>
      <c r="I31" s="590">
        <f t="shared" si="5"/>
        <v>0</v>
      </c>
      <c r="J31" s="491" t="s">
        <v>34</v>
      </c>
      <c r="K31" s="352"/>
    </row>
    <row r="32" spans="1:11" s="52" customFormat="1" ht="41.45" customHeight="1" outlineLevel="1">
      <c r="A32" s="181" t="s">
        <v>945</v>
      </c>
      <c r="B32" s="173" t="s">
        <v>1023</v>
      </c>
      <c r="C32" s="176" t="s">
        <v>78</v>
      </c>
      <c r="D32" s="220" t="s">
        <v>37</v>
      </c>
      <c r="E32" s="436">
        <v>155</v>
      </c>
      <c r="F32" s="871">
        <v>0</v>
      </c>
      <c r="G32" s="592"/>
      <c r="H32" s="871">
        <v>0</v>
      </c>
      <c r="I32" s="590">
        <f t="shared" si="5"/>
        <v>0</v>
      </c>
      <c r="J32" s="491" t="s">
        <v>34</v>
      </c>
      <c r="K32" s="352"/>
    </row>
    <row r="33" spans="1:11" s="47" customFormat="1" ht="37.5" customHeight="1" outlineLevel="1">
      <c r="A33" s="181" t="s">
        <v>946</v>
      </c>
      <c r="B33" s="420" t="s">
        <v>1022</v>
      </c>
      <c r="C33" s="420" t="s">
        <v>923</v>
      </c>
      <c r="D33" s="421" t="s">
        <v>52</v>
      </c>
      <c r="E33" s="561">
        <v>8.4</v>
      </c>
      <c r="F33" s="871">
        <v>0</v>
      </c>
      <c r="G33" s="871">
        <v>0</v>
      </c>
      <c r="H33" s="592"/>
      <c r="I33" s="590">
        <f>SUM(F33:H33)*E33</f>
        <v>0</v>
      </c>
      <c r="J33" s="489" t="s">
        <v>34</v>
      </c>
      <c r="K33" s="504"/>
    </row>
    <row r="34" spans="1:11" s="47" customFormat="1" ht="59.45" customHeight="1" outlineLevel="1">
      <c r="A34" s="181" t="s">
        <v>947</v>
      </c>
      <c r="B34" s="417" t="s">
        <v>924</v>
      </c>
      <c r="C34" s="417" t="s">
        <v>925</v>
      </c>
      <c r="D34" s="423" t="s">
        <v>33</v>
      </c>
      <c r="E34" s="561">
        <f>560</f>
        <v>560</v>
      </c>
      <c r="F34" s="871">
        <v>0</v>
      </c>
      <c r="G34" s="592"/>
      <c r="H34" s="871">
        <v>0</v>
      </c>
      <c r="I34" s="590">
        <f t="shared" ref="I34" si="6">SUM(F34:H34)*E34</f>
        <v>0</v>
      </c>
      <c r="J34" s="490" t="s">
        <v>34</v>
      </c>
      <c r="K34" s="504"/>
    </row>
    <row r="35" spans="1:11" s="49" customFormat="1" ht="136.35" customHeight="1" outlineLevel="1">
      <c r="A35" s="181" t="s">
        <v>948</v>
      </c>
      <c r="B35" s="417" t="s">
        <v>921</v>
      </c>
      <c r="C35" s="418" t="s">
        <v>922</v>
      </c>
      <c r="D35" s="419" t="s">
        <v>63</v>
      </c>
      <c r="E35" s="562">
        <f>4</f>
        <v>4</v>
      </c>
      <c r="F35" s="871">
        <v>0</v>
      </c>
      <c r="G35" s="871">
        <v>0</v>
      </c>
      <c r="H35" s="871">
        <v>0</v>
      </c>
      <c r="I35" s="590">
        <f t="shared" si="5"/>
        <v>0</v>
      </c>
      <c r="J35" s="491" t="s">
        <v>34</v>
      </c>
      <c r="K35" s="352"/>
    </row>
    <row r="36" spans="1:11" s="49" customFormat="1" ht="66" customHeight="1" outlineLevel="1">
      <c r="A36" s="181" t="s">
        <v>928</v>
      </c>
      <c r="B36" s="173" t="s">
        <v>1021</v>
      </c>
      <c r="C36" s="176" t="s">
        <v>920</v>
      </c>
      <c r="D36" s="220" t="s">
        <v>63</v>
      </c>
      <c r="E36" s="436">
        <v>3</v>
      </c>
      <c r="F36" s="871">
        <v>0</v>
      </c>
      <c r="G36" s="592"/>
      <c r="H36" s="871">
        <v>0</v>
      </c>
      <c r="I36" s="590">
        <f t="shared" si="5"/>
        <v>0</v>
      </c>
      <c r="J36" s="491" t="s">
        <v>34</v>
      </c>
      <c r="K36" s="352"/>
    </row>
    <row r="37" spans="1:11" s="47" customFormat="1" ht="30" customHeight="1">
      <c r="A37" s="516" t="s">
        <v>26</v>
      </c>
      <c r="B37" s="636" t="s">
        <v>990</v>
      </c>
      <c r="C37" s="637"/>
      <c r="D37" s="638"/>
      <c r="E37" s="563"/>
      <c r="F37" s="595"/>
      <c r="G37" s="595"/>
      <c r="H37" s="596"/>
      <c r="I37" s="591">
        <f>SUM(I38:I56)</f>
        <v>0</v>
      </c>
      <c r="J37" s="493"/>
      <c r="K37" s="504"/>
    </row>
    <row r="38" spans="1:11" s="47" customFormat="1" ht="81.75" customHeight="1" outlineLevel="1">
      <c r="A38" s="422" t="s">
        <v>949</v>
      </c>
      <c r="B38" s="424" t="s">
        <v>927</v>
      </c>
      <c r="C38" s="425" t="s">
        <v>1002</v>
      </c>
      <c r="D38" s="426" t="s">
        <v>29</v>
      </c>
      <c r="E38" s="564">
        <v>29</v>
      </c>
      <c r="F38" s="871">
        <v>0</v>
      </c>
      <c r="G38" s="592"/>
      <c r="H38" s="871">
        <v>0</v>
      </c>
      <c r="I38" s="569">
        <f t="shared" ref="I38:I51" si="7">SUM(F38:H38)*E38</f>
        <v>0</v>
      </c>
      <c r="J38" s="490" t="s">
        <v>34</v>
      </c>
      <c r="K38" s="504"/>
    </row>
    <row r="39" spans="1:11" s="47" customFormat="1" ht="52.35" customHeight="1" outlineLevel="1">
      <c r="A39" s="422" t="s">
        <v>950</v>
      </c>
      <c r="B39" s="425" t="s">
        <v>929</v>
      </c>
      <c r="C39" s="425" t="s">
        <v>992</v>
      </c>
      <c r="D39" s="426" t="s">
        <v>29</v>
      </c>
      <c r="E39" s="564">
        <v>18</v>
      </c>
      <c r="F39" s="871">
        <v>0</v>
      </c>
      <c r="G39" s="592"/>
      <c r="H39" s="871">
        <v>0</v>
      </c>
      <c r="I39" s="569">
        <f t="shared" si="7"/>
        <v>0</v>
      </c>
      <c r="J39" s="490" t="s">
        <v>34</v>
      </c>
      <c r="K39" s="504"/>
    </row>
    <row r="40" spans="1:11" s="47" customFormat="1" ht="50.45" customHeight="1" outlineLevel="1">
      <c r="A40" s="422" t="s">
        <v>951</v>
      </c>
      <c r="B40" s="425" t="s">
        <v>1003</v>
      </c>
      <c r="C40" s="427" t="s">
        <v>930</v>
      </c>
      <c r="D40" s="426" t="s">
        <v>85</v>
      </c>
      <c r="E40" s="564">
        <v>20</v>
      </c>
      <c r="F40" s="871">
        <v>0</v>
      </c>
      <c r="G40" s="592"/>
      <c r="H40" s="871">
        <v>0</v>
      </c>
      <c r="I40" s="569">
        <f t="shared" si="7"/>
        <v>0</v>
      </c>
      <c r="J40" s="490" t="s">
        <v>34</v>
      </c>
      <c r="K40" s="504"/>
    </row>
    <row r="41" spans="1:11" s="47" customFormat="1" ht="44.45" customHeight="1" outlineLevel="1">
      <c r="A41" s="422" t="s">
        <v>952</v>
      </c>
      <c r="B41" s="425" t="s">
        <v>1004</v>
      </c>
      <c r="C41" s="425" t="s">
        <v>1005</v>
      </c>
      <c r="D41" s="426" t="s">
        <v>33</v>
      </c>
      <c r="E41" s="564">
        <v>118</v>
      </c>
      <c r="F41" s="871">
        <v>0</v>
      </c>
      <c r="G41" s="592"/>
      <c r="H41" s="871">
        <v>0</v>
      </c>
      <c r="I41" s="569">
        <f t="shared" si="7"/>
        <v>0</v>
      </c>
      <c r="J41" s="490" t="s">
        <v>34</v>
      </c>
      <c r="K41" s="504"/>
    </row>
    <row r="42" spans="1:11" s="47" customFormat="1" ht="85.5" outlineLevel="1">
      <c r="A42" s="422" t="s">
        <v>953</v>
      </c>
      <c r="B42" s="428" t="s">
        <v>1006</v>
      </c>
      <c r="C42" s="427" t="s">
        <v>991</v>
      </c>
      <c r="D42" s="422" t="s">
        <v>931</v>
      </c>
      <c r="E42" s="565">
        <f>61</f>
        <v>61</v>
      </c>
      <c r="F42" s="871">
        <v>0</v>
      </c>
      <c r="G42" s="592"/>
      <c r="H42" s="871">
        <v>0</v>
      </c>
      <c r="I42" s="569">
        <f t="shared" si="7"/>
        <v>0</v>
      </c>
      <c r="J42" s="490" t="s">
        <v>34</v>
      </c>
      <c r="K42" s="504"/>
    </row>
    <row r="43" spans="1:11" s="47" customFormat="1" ht="81" customHeight="1" outlineLevel="1">
      <c r="A43" s="422" t="s">
        <v>954</v>
      </c>
      <c r="B43" s="428" t="s">
        <v>1007</v>
      </c>
      <c r="C43" s="427" t="s">
        <v>993</v>
      </c>
      <c r="D43" s="426" t="s">
        <v>33</v>
      </c>
      <c r="E43" s="565">
        <v>120</v>
      </c>
      <c r="F43" s="871">
        <v>0</v>
      </c>
      <c r="G43" s="597"/>
      <c r="H43" s="871">
        <v>0</v>
      </c>
      <c r="I43" s="569">
        <f t="shared" ref="I43" si="8">SUM(F43:H43)*E43</f>
        <v>0</v>
      </c>
      <c r="J43" s="490" t="s">
        <v>34</v>
      </c>
      <c r="K43" s="504"/>
    </row>
    <row r="44" spans="1:11" s="47" customFormat="1" ht="51" customHeight="1" outlineLevel="1">
      <c r="A44" s="422" t="s">
        <v>955</v>
      </c>
      <c r="B44" s="425" t="s">
        <v>1008</v>
      </c>
      <c r="C44" s="425" t="s">
        <v>1009</v>
      </c>
      <c r="D44" s="426" t="s">
        <v>85</v>
      </c>
      <c r="E44" s="564">
        <v>25</v>
      </c>
      <c r="F44" s="871">
        <v>0</v>
      </c>
      <c r="G44" s="592"/>
      <c r="H44" s="871">
        <v>0</v>
      </c>
      <c r="I44" s="569">
        <f t="shared" si="7"/>
        <v>0</v>
      </c>
      <c r="J44" s="490" t="s">
        <v>34</v>
      </c>
      <c r="K44" s="504"/>
    </row>
    <row r="45" spans="1:11" s="47" customFormat="1" ht="55.35" customHeight="1" outlineLevel="1">
      <c r="A45" s="422" t="s">
        <v>956</v>
      </c>
      <c r="B45" s="425" t="s">
        <v>1010</v>
      </c>
      <c r="C45" s="425" t="s">
        <v>1011</v>
      </c>
      <c r="D45" s="426" t="s">
        <v>85</v>
      </c>
      <c r="E45" s="564">
        <v>20</v>
      </c>
      <c r="F45" s="871">
        <v>0</v>
      </c>
      <c r="G45" s="592"/>
      <c r="H45" s="871">
        <v>0</v>
      </c>
      <c r="I45" s="569">
        <f t="shared" si="7"/>
        <v>0</v>
      </c>
      <c r="J45" s="490" t="s">
        <v>34</v>
      </c>
      <c r="K45" s="504"/>
    </row>
    <row r="46" spans="1:11" s="47" customFormat="1" ht="91.35" customHeight="1" outlineLevel="1">
      <c r="A46" s="422" t="s">
        <v>957</v>
      </c>
      <c r="B46" s="425" t="s">
        <v>932</v>
      </c>
      <c r="C46" s="425" t="s">
        <v>1012</v>
      </c>
      <c r="D46" s="426" t="s">
        <v>29</v>
      </c>
      <c r="E46" s="564">
        <v>15</v>
      </c>
      <c r="F46" s="871">
        <v>0</v>
      </c>
      <c r="G46" s="592"/>
      <c r="H46" s="871">
        <v>0</v>
      </c>
      <c r="I46" s="569">
        <f t="shared" si="7"/>
        <v>0</v>
      </c>
      <c r="J46" s="490" t="s">
        <v>34</v>
      </c>
      <c r="K46" s="504"/>
    </row>
    <row r="47" spans="1:11" s="47" customFormat="1" ht="58.7" customHeight="1" outlineLevel="1">
      <c r="A47" s="422" t="s">
        <v>958</v>
      </c>
      <c r="B47" s="425" t="s">
        <v>1013</v>
      </c>
      <c r="C47" s="425" t="s">
        <v>994</v>
      </c>
      <c r="D47" s="426" t="s">
        <v>63</v>
      </c>
      <c r="E47" s="564">
        <v>40</v>
      </c>
      <c r="F47" s="871">
        <v>0</v>
      </c>
      <c r="G47" s="592"/>
      <c r="H47" s="871">
        <v>0</v>
      </c>
      <c r="I47" s="569">
        <f t="shared" si="7"/>
        <v>0</v>
      </c>
      <c r="J47" s="490" t="s">
        <v>34</v>
      </c>
      <c r="K47" s="504"/>
    </row>
    <row r="48" spans="1:11" s="47" customFormat="1" ht="61.35" customHeight="1" outlineLevel="1">
      <c r="A48" s="422" t="s">
        <v>959</v>
      </c>
      <c r="B48" s="425" t="s">
        <v>933</v>
      </c>
      <c r="C48" s="425" t="s">
        <v>1014</v>
      </c>
      <c r="D48" s="426" t="s">
        <v>29</v>
      </c>
      <c r="E48" s="564">
        <v>28</v>
      </c>
      <c r="F48" s="871">
        <v>0</v>
      </c>
      <c r="G48" s="592"/>
      <c r="H48" s="871">
        <v>0</v>
      </c>
      <c r="I48" s="569">
        <f t="shared" si="7"/>
        <v>0</v>
      </c>
      <c r="J48" s="490" t="s">
        <v>34</v>
      </c>
      <c r="K48" s="504"/>
    </row>
    <row r="49" spans="1:11" s="47" customFormat="1" ht="68.45" customHeight="1" outlineLevel="1">
      <c r="A49" s="422" t="s">
        <v>960</v>
      </c>
      <c r="B49" s="425" t="s">
        <v>1015</v>
      </c>
      <c r="C49" s="425" t="s">
        <v>995</v>
      </c>
      <c r="D49" s="426" t="s">
        <v>33</v>
      </c>
      <c r="E49" s="564">
        <v>190</v>
      </c>
      <c r="F49" s="871">
        <v>0</v>
      </c>
      <c r="G49" s="592"/>
      <c r="H49" s="871">
        <v>0</v>
      </c>
      <c r="I49" s="569">
        <f t="shared" si="7"/>
        <v>0</v>
      </c>
      <c r="J49" s="490" t="s">
        <v>34</v>
      </c>
      <c r="K49" s="504"/>
    </row>
    <row r="50" spans="1:11" s="47" customFormat="1" ht="85.5" outlineLevel="1">
      <c r="A50" s="422" t="s">
        <v>961</v>
      </c>
      <c r="B50" s="425" t="s">
        <v>1016</v>
      </c>
      <c r="C50" s="427" t="s">
        <v>996</v>
      </c>
      <c r="D50" s="426" t="s">
        <v>934</v>
      </c>
      <c r="E50" s="564">
        <v>118</v>
      </c>
      <c r="F50" s="871">
        <v>0</v>
      </c>
      <c r="G50" s="592"/>
      <c r="H50" s="871">
        <v>0</v>
      </c>
      <c r="I50" s="569">
        <f t="shared" si="7"/>
        <v>0</v>
      </c>
      <c r="J50" s="490" t="s">
        <v>34</v>
      </c>
      <c r="K50" s="504"/>
    </row>
    <row r="51" spans="1:11" s="47" customFormat="1" ht="52.35" customHeight="1" outlineLevel="1">
      <c r="A51" s="422" t="s">
        <v>962</v>
      </c>
      <c r="B51" s="425" t="s">
        <v>935</v>
      </c>
      <c r="C51" s="425" t="s">
        <v>1017</v>
      </c>
      <c r="D51" s="426" t="s">
        <v>33</v>
      </c>
      <c r="E51" s="564">
        <v>28</v>
      </c>
      <c r="F51" s="871">
        <v>0</v>
      </c>
      <c r="G51" s="592"/>
      <c r="H51" s="871">
        <v>0</v>
      </c>
      <c r="I51" s="569">
        <f t="shared" si="7"/>
        <v>0</v>
      </c>
      <c r="J51" s="490" t="s">
        <v>34</v>
      </c>
      <c r="K51" s="504"/>
    </row>
    <row r="52" spans="1:11" s="47" customFormat="1" ht="93" customHeight="1" outlineLevel="1">
      <c r="A52" s="422" t="s">
        <v>963</v>
      </c>
      <c r="B52" s="450" t="s">
        <v>936</v>
      </c>
      <c r="C52" s="450" t="s">
        <v>997</v>
      </c>
      <c r="D52" s="429" t="s">
        <v>33</v>
      </c>
      <c r="E52" s="561">
        <v>55</v>
      </c>
      <c r="F52" s="871">
        <v>0</v>
      </c>
      <c r="G52" s="871">
        <v>0</v>
      </c>
      <c r="H52" s="871">
        <v>0</v>
      </c>
      <c r="I52" s="569">
        <f>SUM(F52:H52)*E52</f>
        <v>0</v>
      </c>
      <c r="J52" s="489" t="s">
        <v>34</v>
      </c>
      <c r="K52" s="504"/>
    </row>
    <row r="53" spans="1:11" s="47" customFormat="1" ht="67.7" customHeight="1" outlineLevel="1">
      <c r="A53" s="422" t="s">
        <v>964</v>
      </c>
      <c r="B53" s="417" t="s">
        <v>1018</v>
      </c>
      <c r="C53" s="417" t="s">
        <v>998</v>
      </c>
      <c r="D53" s="426" t="s">
        <v>33</v>
      </c>
      <c r="E53" s="564">
        <v>160</v>
      </c>
      <c r="F53" s="871">
        <v>0</v>
      </c>
      <c r="G53" s="592"/>
      <c r="H53" s="871">
        <v>0</v>
      </c>
      <c r="I53" s="569">
        <f t="shared" ref="I53:I56" si="9">SUM(F53:H53)*E53</f>
        <v>0</v>
      </c>
      <c r="J53" s="490" t="s">
        <v>34</v>
      </c>
      <c r="K53" s="504"/>
    </row>
    <row r="54" spans="1:11" s="47" customFormat="1" ht="54.6" customHeight="1" outlineLevel="1">
      <c r="A54" s="422" t="s">
        <v>965</v>
      </c>
      <c r="B54" s="417" t="s">
        <v>1019</v>
      </c>
      <c r="C54" s="417" t="s">
        <v>999</v>
      </c>
      <c r="D54" s="422" t="s">
        <v>937</v>
      </c>
      <c r="E54" s="566">
        <v>210</v>
      </c>
      <c r="F54" s="871">
        <v>0</v>
      </c>
      <c r="G54" s="592"/>
      <c r="H54" s="871">
        <v>0</v>
      </c>
      <c r="I54" s="569">
        <f t="shared" si="9"/>
        <v>0</v>
      </c>
      <c r="J54" s="490" t="s">
        <v>34</v>
      </c>
      <c r="K54" s="504"/>
    </row>
    <row r="55" spans="1:11" s="47" customFormat="1" ht="53.45" customHeight="1" outlineLevel="1">
      <c r="A55" s="422" t="s">
        <v>966</v>
      </c>
      <c r="B55" s="417" t="s">
        <v>1019</v>
      </c>
      <c r="C55" s="417" t="s">
        <v>1000</v>
      </c>
      <c r="D55" s="422" t="s">
        <v>937</v>
      </c>
      <c r="E55" s="566">
        <v>120</v>
      </c>
      <c r="F55" s="871">
        <v>0</v>
      </c>
      <c r="G55" s="592"/>
      <c r="H55" s="871">
        <v>0</v>
      </c>
      <c r="I55" s="569">
        <f>SUM(F55:H55)*E55</f>
        <v>0</v>
      </c>
      <c r="J55" s="490" t="s">
        <v>34</v>
      </c>
      <c r="K55" s="504"/>
    </row>
    <row r="56" spans="1:11" s="47" customFormat="1" ht="56.45" customHeight="1" outlineLevel="1">
      <c r="A56" s="422" t="s">
        <v>968</v>
      </c>
      <c r="B56" s="430" t="s">
        <v>1020</v>
      </c>
      <c r="C56" s="431" t="s">
        <v>1001</v>
      </c>
      <c r="D56" s="432" t="s">
        <v>191</v>
      </c>
      <c r="E56" s="567">
        <v>2.5</v>
      </c>
      <c r="F56" s="871">
        <v>0</v>
      </c>
      <c r="G56" s="592"/>
      <c r="H56" s="871">
        <v>0</v>
      </c>
      <c r="I56" s="569">
        <f t="shared" si="9"/>
        <v>0</v>
      </c>
      <c r="J56" s="490" t="s">
        <v>34</v>
      </c>
      <c r="K56" s="504"/>
    </row>
    <row r="57" spans="1:11" s="52" customFormat="1" ht="23.1" customHeight="1">
      <c r="A57" s="535" t="s">
        <v>10</v>
      </c>
      <c r="B57" s="639" t="s">
        <v>79</v>
      </c>
      <c r="C57" s="640"/>
      <c r="D57" s="641"/>
      <c r="E57" s="559"/>
      <c r="F57" s="569"/>
      <c r="G57" s="569"/>
      <c r="H57" s="569"/>
      <c r="I57" s="598"/>
      <c r="J57" s="491"/>
      <c r="K57" s="352"/>
    </row>
    <row r="58" spans="1:11" s="51" customFormat="1" ht="30" customHeight="1">
      <c r="A58" s="591" t="s">
        <v>87</v>
      </c>
      <c r="B58" s="642" t="s">
        <v>88</v>
      </c>
      <c r="C58" s="643"/>
      <c r="D58" s="644"/>
      <c r="E58" s="559"/>
      <c r="F58" s="569"/>
      <c r="G58" s="569"/>
      <c r="H58" s="569"/>
      <c r="I58" s="591">
        <f>SUM(I59:I68)</f>
        <v>0</v>
      </c>
      <c r="J58" s="491"/>
      <c r="K58" s="352"/>
    </row>
    <row r="59" spans="1:11" s="51" customFormat="1" ht="30" customHeight="1" outlineLevel="1">
      <c r="A59" s="181" t="s">
        <v>89</v>
      </c>
      <c r="B59" s="351" t="s">
        <v>976</v>
      </c>
      <c r="C59" s="451" t="s">
        <v>1033</v>
      </c>
      <c r="D59" s="454" t="s">
        <v>81</v>
      </c>
      <c r="E59" s="568">
        <v>100</v>
      </c>
      <c r="F59" s="894">
        <v>0</v>
      </c>
      <c r="G59" s="894">
        <v>0</v>
      </c>
      <c r="H59" s="894">
        <v>0</v>
      </c>
      <c r="I59" s="599">
        <f>SUM(F59:H59)*E59</f>
        <v>0</v>
      </c>
      <c r="J59" s="491" t="s">
        <v>34</v>
      </c>
      <c r="K59" s="352"/>
    </row>
    <row r="60" spans="1:11" s="51" customFormat="1" ht="30" customHeight="1" outlineLevel="1">
      <c r="A60" s="181" t="s">
        <v>91</v>
      </c>
      <c r="B60" s="356" t="s">
        <v>977</v>
      </c>
      <c r="C60" s="451" t="s">
        <v>1033</v>
      </c>
      <c r="D60" s="454" t="s">
        <v>81</v>
      </c>
      <c r="E60" s="568">
        <v>100</v>
      </c>
      <c r="F60" s="894">
        <v>0</v>
      </c>
      <c r="G60" s="894">
        <v>0</v>
      </c>
      <c r="H60" s="894">
        <v>0</v>
      </c>
      <c r="I60" s="599">
        <f>SUM(F60:H60)*E60</f>
        <v>0</v>
      </c>
      <c r="J60" s="491" t="s">
        <v>34</v>
      </c>
      <c r="K60" s="352"/>
    </row>
    <row r="61" spans="1:11" s="51" customFormat="1" ht="43.7" customHeight="1" outlineLevel="1">
      <c r="A61" s="455" t="s">
        <v>92</v>
      </c>
      <c r="B61" s="442" t="s">
        <v>978</v>
      </c>
      <c r="C61" s="451" t="s">
        <v>1033</v>
      </c>
      <c r="D61" s="355" t="s">
        <v>52</v>
      </c>
      <c r="E61" s="568">
        <v>100</v>
      </c>
      <c r="F61" s="925">
        <v>0</v>
      </c>
      <c r="G61" s="600"/>
      <c r="H61" s="925">
        <v>0</v>
      </c>
      <c r="I61" s="601">
        <f>SUM(F61:H61)*E61</f>
        <v>0</v>
      </c>
      <c r="J61" s="491" t="s">
        <v>34</v>
      </c>
      <c r="K61" s="352"/>
    </row>
    <row r="62" spans="1:11" s="51" customFormat="1" ht="45.6" customHeight="1" outlineLevel="1">
      <c r="A62" s="455" t="s">
        <v>95</v>
      </c>
      <c r="B62" s="351" t="s">
        <v>979</v>
      </c>
      <c r="C62" s="451" t="s">
        <v>1034</v>
      </c>
      <c r="D62" s="452" t="s">
        <v>63</v>
      </c>
      <c r="E62" s="568">
        <v>4</v>
      </c>
      <c r="F62" s="894">
        <v>0</v>
      </c>
      <c r="G62" s="602"/>
      <c r="H62" s="894">
        <v>0</v>
      </c>
      <c r="I62" s="599">
        <f t="shared" ref="I62" si="10">SUM(F62:H62)*E62</f>
        <v>0</v>
      </c>
      <c r="J62" s="491" t="s">
        <v>34</v>
      </c>
      <c r="K62" s="352"/>
    </row>
    <row r="63" spans="1:11" s="47" customFormat="1" ht="78.599999999999994" customHeight="1" outlineLevel="1">
      <c r="A63" s="181" t="s">
        <v>839</v>
      </c>
      <c r="B63" s="173" t="s">
        <v>90</v>
      </c>
      <c r="C63" s="176" t="s">
        <v>833</v>
      </c>
      <c r="D63" s="220" t="s">
        <v>29</v>
      </c>
      <c r="E63" s="436">
        <v>3</v>
      </c>
      <c r="F63" s="871">
        <v>0</v>
      </c>
      <c r="G63" s="871">
        <v>0</v>
      </c>
      <c r="H63" s="871">
        <v>0</v>
      </c>
      <c r="I63" s="588">
        <f t="shared" ref="I63:I68" si="11">SUM(F63:H63)*E63</f>
        <v>0</v>
      </c>
      <c r="J63" s="491" t="s">
        <v>34</v>
      </c>
      <c r="K63" s="352"/>
    </row>
    <row r="64" spans="1:11" s="47" customFormat="1" ht="55.7" customHeight="1" outlineLevel="1">
      <c r="A64" s="181" t="s">
        <v>1035</v>
      </c>
      <c r="B64" s="173" t="s">
        <v>832</v>
      </c>
      <c r="C64" s="176" t="s">
        <v>831</v>
      </c>
      <c r="D64" s="220" t="s">
        <v>63</v>
      </c>
      <c r="E64" s="436">
        <v>2</v>
      </c>
      <c r="F64" s="871">
        <v>0</v>
      </c>
      <c r="G64" s="871">
        <v>0</v>
      </c>
      <c r="H64" s="871">
        <v>0</v>
      </c>
      <c r="I64" s="588">
        <f t="shared" si="11"/>
        <v>0</v>
      </c>
      <c r="J64" s="491" t="s">
        <v>34</v>
      </c>
      <c r="K64" s="352"/>
    </row>
    <row r="65" spans="1:11" s="47" customFormat="1" ht="78.599999999999994" customHeight="1" outlineLevel="1">
      <c r="A65" s="181" t="s">
        <v>1036</v>
      </c>
      <c r="B65" s="173" t="s">
        <v>834</v>
      </c>
      <c r="C65" s="176" t="s">
        <v>835</v>
      </c>
      <c r="D65" s="220" t="s">
        <v>81</v>
      </c>
      <c r="E65" s="436">
        <v>49</v>
      </c>
      <c r="F65" s="871">
        <v>0</v>
      </c>
      <c r="G65" s="871">
        <v>0</v>
      </c>
      <c r="H65" s="871">
        <v>0</v>
      </c>
      <c r="I65" s="588">
        <f t="shared" ref="I65:I66" si="12">SUM(F65:H65)*E65</f>
        <v>0</v>
      </c>
      <c r="J65" s="491" t="s">
        <v>34</v>
      </c>
      <c r="K65" s="352"/>
    </row>
    <row r="66" spans="1:11" s="47" customFormat="1" ht="72" customHeight="1" outlineLevel="1">
      <c r="A66" s="455" t="s">
        <v>1037</v>
      </c>
      <c r="B66" s="443" t="s">
        <v>980</v>
      </c>
      <c r="C66" s="176" t="s">
        <v>1026</v>
      </c>
      <c r="D66" s="220" t="s">
        <v>119</v>
      </c>
      <c r="E66" s="436">
        <f>90+6*2.5</f>
        <v>105</v>
      </c>
      <c r="F66" s="873">
        <v>0</v>
      </c>
      <c r="G66" s="873">
        <v>0</v>
      </c>
      <c r="H66" s="873">
        <v>0</v>
      </c>
      <c r="I66" s="592">
        <f t="shared" si="12"/>
        <v>0</v>
      </c>
      <c r="J66" s="491" t="s">
        <v>34</v>
      </c>
      <c r="K66" s="352"/>
    </row>
    <row r="67" spans="1:11" s="47" customFormat="1" ht="81.95" customHeight="1" outlineLevel="1">
      <c r="A67" s="181" t="s">
        <v>1038</v>
      </c>
      <c r="B67" s="173" t="s">
        <v>93</v>
      </c>
      <c r="C67" s="178" t="s">
        <v>94</v>
      </c>
      <c r="D67" s="220" t="s">
        <v>63</v>
      </c>
      <c r="E67" s="436">
        <v>1</v>
      </c>
      <c r="F67" s="871">
        <v>0</v>
      </c>
      <c r="G67" s="871">
        <v>0</v>
      </c>
      <c r="H67" s="871">
        <v>0</v>
      </c>
      <c r="I67" s="588">
        <f t="shared" si="11"/>
        <v>0</v>
      </c>
      <c r="J67" s="491" t="s">
        <v>34</v>
      </c>
      <c r="K67" s="352"/>
    </row>
    <row r="68" spans="1:11" s="47" customFormat="1" ht="74.099999999999994" customHeight="1" outlineLevel="1">
      <c r="A68" s="181" t="s">
        <v>1039</v>
      </c>
      <c r="B68" s="173" t="s">
        <v>96</v>
      </c>
      <c r="C68" s="176" t="s">
        <v>97</v>
      </c>
      <c r="D68" s="220" t="s">
        <v>98</v>
      </c>
      <c r="E68" s="436">
        <v>8</v>
      </c>
      <c r="F68" s="871">
        <v>0</v>
      </c>
      <c r="G68" s="592"/>
      <c r="H68" s="592"/>
      <c r="I68" s="588">
        <f t="shared" si="11"/>
        <v>0</v>
      </c>
      <c r="J68" s="491" t="s">
        <v>34</v>
      </c>
      <c r="K68" s="352"/>
    </row>
    <row r="69" spans="1:11" s="47" customFormat="1" ht="24.6" customHeight="1">
      <c r="A69" s="515" t="s">
        <v>99</v>
      </c>
      <c r="B69" s="642" t="s">
        <v>100</v>
      </c>
      <c r="C69" s="643"/>
      <c r="D69" s="644"/>
      <c r="E69" s="559"/>
      <c r="F69" s="603"/>
      <c r="G69" s="603"/>
      <c r="H69" s="603"/>
      <c r="I69" s="591">
        <f>SUM(I70:I79)</f>
        <v>0</v>
      </c>
      <c r="J69" s="491"/>
      <c r="K69" s="352"/>
    </row>
    <row r="70" spans="1:11" s="47" customFormat="1" ht="29.45" customHeight="1" outlineLevel="1">
      <c r="A70" s="181" t="s">
        <v>1061</v>
      </c>
      <c r="B70" s="173" t="s">
        <v>102</v>
      </c>
      <c r="C70" s="350" t="s">
        <v>103</v>
      </c>
      <c r="D70" s="220" t="s">
        <v>81</v>
      </c>
      <c r="E70" s="436">
        <v>10</v>
      </c>
      <c r="F70" s="871">
        <v>0</v>
      </c>
      <c r="G70" s="592"/>
      <c r="H70" s="871">
        <v>0</v>
      </c>
      <c r="I70" s="588">
        <f t="shared" ref="I70" si="13">SUM(F70:H70)*E70</f>
        <v>0</v>
      </c>
      <c r="J70" s="492" t="s">
        <v>34</v>
      </c>
      <c r="K70" s="351"/>
    </row>
    <row r="71" spans="1:11" s="47" customFormat="1" ht="94.35" customHeight="1" outlineLevel="1">
      <c r="A71" s="181" t="s">
        <v>101</v>
      </c>
      <c r="B71" s="173" t="s">
        <v>819</v>
      </c>
      <c r="C71" s="178" t="s">
        <v>824</v>
      </c>
      <c r="D71" s="220" t="s">
        <v>81</v>
      </c>
      <c r="E71" s="436">
        <v>160</v>
      </c>
      <c r="F71" s="871">
        <v>0</v>
      </c>
      <c r="G71" s="603"/>
      <c r="H71" s="871">
        <v>0</v>
      </c>
      <c r="I71" s="588">
        <f t="shared" ref="I71" si="14">SUM(F71:H71)*E71</f>
        <v>0</v>
      </c>
      <c r="J71" s="491" t="s">
        <v>34</v>
      </c>
      <c r="K71" s="352"/>
    </row>
    <row r="72" spans="1:11" s="47" customFormat="1" ht="48" customHeight="1" outlineLevel="1">
      <c r="A72" s="181" t="s">
        <v>104</v>
      </c>
      <c r="B72" s="173" t="s">
        <v>106</v>
      </c>
      <c r="C72" s="178" t="s">
        <v>107</v>
      </c>
      <c r="D72" s="220" t="s">
        <v>82</v>
      </c>
      <c r="E72" s="436">
        <v>18</v>
      </c>
      <c r="F72" s="871">
        <v>0</v>
      </c>
      <c r="G72" s="592"/>
      <c r="H72" s="871">
        <v>0</v>
      </c>
      <c r="I72" s="588">
        <f>SUM(F72:H72)*E72</f>
        <v>0</v>
      </c>
      <c r="J72" s="491" t="s">
        <v>34</v>
      </c>
      <c r="K72" s="352"/>
    </row>
    <row r="73" spans="1:11" s="47" customFormat="1" ht="42" customHeight="1" outlineLevel="1">
      <c r="A73" s="181" t="s">
        <v>105</v>
      </c>
      <c r="B73" s="173" t="s">
        <v>83</v>
      </c>
      <c r="C73" s="176" t="s">
        <v>820</v>
      </c>
      <c r="D73" s="223" t="s">
        <v>109</v>
      </c>
      <c r="E73" s="436">
        <v>2</v>
      </c>
      <c r="F73" s="871">
        <v>0</v>
      </c>
      <c r="G73" s="592"/>
      <c r="H73" s="592"/>
      <c r="I73" s="588">
        <f t="shared" ref="I73" si="15">SUM(F73:H73)*E73</f>
        <v>0</v>
      </c>
      <c r="J73" s="494" t="s">
        <v>34</v>
      </c>
      <c r="K73" s="351"/>
    </row>
    <row r="74" spans="1:11" s="47" customFormat="1" ht="36" customHeight="1" outlineLevel="1">
      <c r="A74" s="181" t="s">
        <v>108</v>
      </c>
      <c r="B74" s="173" t="s">
        <v>711</v>
      </c>
      <c r="C74" s="176" t="s">
        <v>822</v>
      </c>
      <c r="D74" s="220" t="s">
        <v>52</v>
      </c>
      <c r="E74" s="436">
        <f>12</f>
        <v>12</v>
      </c>
      <c r="F74" s="871">
        <v>0</v>
      </c>
      <c r="G74" s="871">
        <v>0</v>
      </c>
      <c r="H74" s="871">
        <v>0</v>
      </c>
      <c r="I74" s="590">
        <f t="shared" ref="I74" si="16">SUM(F74:H74)*E74</f>
        <v>0</v>
      </c>
      <c r="J74" s="491" t="s">
        <v>34</v>
      </c>
      <c r="K74" s="351"/>
    </row>
    <row r="75" spans="1:11" s="47" customFormat="1" ht="33.6" customHeight="1" outlineLevel="1">
      <c r="A75" s="181" t="s">
        <v>110</v>
      </c>
      <c r="B75" s="173" t="s">
        <v>111</v>
      </c>
      <c r="C75" s="178" t="s">
        <v>821</v>
      </c>
      <c r="D75" s="220" t="s">
        <v>81</v>
      </c>
      <c r="E75" s="436">
        <v>1</v>
      </c>
      <c r="F75" s="871">
        <v>0</v>
      </c>
      <c r="G75" s="871">
        <v>0</v>
      </c>
      <c r="H75" s="871">
        <v>0</v>
      </c>
      <c r="I75" s="588">
        <f>SUM(F75:H75)*E75</f>
        <v>0</v>
      </c>
      <c r="J75" s="491" t="s">
        <v>34</v>
      </c>
      <c r="K75" s="352"/>
    </row>
    <row r="76" spans="1:11" s="47" customFormat="1" ht="71.099999999999994" customHeight="1" outlineLevel="1">
      <c r="A76" s="181" t="s">
        <v>112</v>
      </c>
      <c r="B76" s="173" t="s">
        <v>113</v>
      </c>
      <c r="C76" s="178" t="s">
        <v>823</v>
      </c>
      <c r="D76" s="220" t="s">
        <v>81</v>
      </c>
      <c r="E76" s="436">
        <v>1.9</v>
      </c>
      <c r="F76" s="871">
        <v>0</v>
      </c>
      <c r="G76" s="871">
        <v>0</v>
      </c>
      <c r="H76" s="871">
        <v>0</v>
      </c>
      <c r="I76" s="588">
        <f>SUM(F76:H76)*E76</f>
        <v>0</v>
      </c>
      <c r="J76" s="491" t="s">
        <v>34</v>
      </c>
      <c r="K76" s="352"/>
    </row>
    <row r="77" spans="1:11" s="47" customFormat="1" ht="33.950000000000003" customHeight="1" outlineLevel="1">
      <c r="A77" s="181" t="s">
        <v>114</v>
      </c>
      <c r="B77" s="199" t="s">
        <v>115</v>
      </c>
      <c r="C77" s="176" t="s">
        <v>116</v>
      </c>
      <c r="D77" s="224" t="s">
        <v>63</v>
      </c>
      <c r="E77" s="436">
        <v>1</v>
      </c>
      <c r="F77" s="871">
        <v>0</v>
      </c>
      <c r="G77" s="871">
        <v>0</v>
      </c>
      <c r="H77" s="871">
        <v>0</v>
      </c>
      <c r="I77" s="604">
        <f t="shared" ref="I77" si="17">SUM(F77:H77)*E77</f>
        <v>0</v>
      </c>
      <c r="J77" s="494" t="s">
        <v>34</v>
      </c>
      <c r="K77" s="351"/>
    </row>
    <row r="78" spans="1:11" s="47" customFormat="1" ht="94.7" customHeight="1" outlineLevel="1">
      <c r="A78" s="181" t="s">
        <v>117</v>
      </c>
      <c r="B78" s="173" t="s">
        <v>118</v>
      </c>
      <c r="C78" s="176" t="s">
        <v>981</v>
      </c>
      <c r="D78" s="220" t="s">
        <v>119</v>
      </c>
      <c r="E78" s="436">
        <v>38</v>
      </c>
      <c r="F78" s="871">
        <v>0</v>
      </c>
      <c r="G78" s="871">
        <v>0</v>
      </c>
      <c r="H78" s="871">
        <v>0</v>
      </c>
      <c r="I78" s="588">
        <f t="shared" ref="I78:I79" si="18">SUM(F78:H78)*E78</f>
        <v>0</v>
      </c>
      <c r="J78" s="491" t="s">
        <v>34</v>
      </c>
      <c r="K78" s="352"/>
    </row>
    <row r="79" spans="1:11" s="51" customFormat="1" ht="75" customHeight="1" outlineLevel="1">
      <c r="A79" s="181" t="s">
        <v>120</v>
      </c>
      <c r="B79" s="173" t="s">
        <v>121</v>
      </c>
      <c r="C79" s="178" t="s">
        <v>969</v>
      </c>
      <c r="D79" s="220" t="s">
        <v>81</v>
      </c>
      <c r="E79" s="436">
        <v>104</v>
      </c>
      <c r="F79" s="871">
        <v>0</v>
      </c>
      <c r="G79" s="871">
        <v>0</v>
      </c>
      <c r="H79" s="871">
        <v>0</v>
      </c>
      <c r="I79" s="588">
        <f t="shared" si="18"/>
        <v>0</v>
      </c>
      <c r="J79" s="491" t="s">
        <v>34</v>
      </c>
      <c r="K79" s="352"/>
    </row>
    <row r="80" spans="1:11" s="51" customFormat="1" ht="24.6" customHeight="1">
      <c r="A80" s="515" t="s">
        <v>122</v>
      </c>
      <c r="B80" s="645" t="s">
        <v>123</v>
      </c>
      <c r="C80" s="646"/>
      <c r="D80" s="647"/>
      <c r="E80" s="559"/>
      <c r="F80" s="603"/>
      <c r="G80" s="603"/>
      <c r="H80" s="603"/>
      <c r="I80" s="591">
        <f>SUM(I81:I90)</f>
        <v>0</v>
      </c>
      <c r="J80" s="491"/>
      <c r="K80" s="352"/>
    </row>
    <row r="81" spans="1:11" s="51" customFormat="1" ht="61.5" customHeight="1" outlineLevel="1">
      <c r="A81" s="181" t="s">
        <v>124</v>
      </c>
      <c r="B81" s="173" t="s">
        <v>125</v>
      </c>
      <c r="C81" s="176" t="s">
        <v>825</v>
      </c>
      <c r="D81" s="220" t="s">
        <v>119</v>
      </c>
      <c r="E81" s="436">
        <v>140</v>
      </c>
      <c r="F81" s="871">
        <v>0</v>
      </c>
      <c r="G81" s="871">
        <v>0</v>
      </c>
      <c r="H81" s="871">
        <v>0</v>
      </c>
      <c r="I81" s="588">
        <f>SUM(F81:H81)*E81</f>
        <v>0</v>
      </c>
      <c r="J81" s="491" t="s">
        <v>34</v>
      </c>
      <c r="K81" s="352"/>
    </row>
    <row r="82" spans="1:11" s="51" customFormat="1" ht="114.95" customHeight="1" outlineLevel="1">
      <c r="A82" s="181" t="s">
        <v>126</v>
      </c>
      <c r="B82" s="173" t="s">
        <v>127</v>
      </c>
      <c r="C82" s="176" t="s">
        <v>826</v>
      </c>
      <c r="D82" s="220" t="s">
        <v>81</v>
      </c>
      <c r="E82" s="436">
        <v>11</v>
      </c>
      <c r="F82" s="871">
        <v>0</v>
      </c>
      <c r="G82" s="871">
        <v>0</v>
      </c>
      <c r="H82" s="871">
        <v>0</v>
      </c>
      <c r="I82" s="588">
        <f t="shared" ref="I82:I90" si="19">SUM(F82:H82)*E82</f>
        <v>0</v>
      </c>
      <c r="J82" s="491" t="s">
        <v>34</v>
      </c>
      <c r="K82" s="352"/>
    </row>
    <row r="83" spans="1:11" s="51" customFormat="1" ht="57" customHeight="1" outlineLevel="1">
      <c r="A83" s="181" t="s">
        <v>128</v>
      </c>
      <c r="B83" s="353" t="s">
        <v>836</v>
      </c>
      <c r="C83" s="354" t="s">
        <v>837</v>
      </c>
      <c r="D83" s="355" t="s">
        <v>37</v>
      </c>
      <c r="E83" s="436">
        <v>90</v>
      </c>
      <c r="F83" s="871">
        <v>0</v>
      </c>
      <c r="G83" s="871">
        <v>0</v>
      </c>
      <c r="H83" s="871">
        <v>0</v>
      </c>
      <c r="I83" s="588">
        <f>SUM(F83:H83)*E83</f>
        <v>0</v>
      </c>
      <c r="J83" s="495" t="s">
        <v>34</v>
      </c>
      <c r="K83" s="352"/>
    </row>
    <row r="84" spans="1:11" s="51" customFormat="1" ht="75.95" customHeight="1" outlineLevel="1">
      <c r="A84" s="181" t="s">
        <v>131</v>
      </c>
      <c r="B84" s="173" t="s">
        <v>828</v>
      </c>
      <c r="C84" s="176" t="s">
        <v>829</v>
      </c>
      <c r="D84" s="220" t="s">
        <v>29</v>
      </c>
      <c r="E84" s="436">
        <v>1</v>
      </c>
      <c r="F84" s="871">
        <v>0</v>
      </c>
      <c r="G84" s="871">
        <v>0</v>
      </c>
      <c r="H84" s="871">
        <v>0</v>
      </c>
      <c r="I84" s="588">
        <f t="shared" ref="I84" si="20">SUM(F84:H84)*E84</f>
        <v>0</v>
      </c>
      <c r="J84" s="491" t="s">
        <v>34</v>
      </c>
      <c r="K84" s="352"/>
    </row>
    <row r="85" spans="1:11" s="47" customFormat="1" ht="61.5" customHeight="1" outlineLevel="1">
      <c r="A85" s="181" t="s">
        <v>134</v>
      </c>
      <c r="B85" s="173" t="s">
        <v>129</v>
      </c>
      <c r="C85" s="176" t="s">
        <v>130</v>
      </c>
      <c r="D85" s="220" t="s">
        <v>29</v>
      </c>
      <c r="E85" s="436">
        <v>1</v>
      </c>
      <c r="F85" s="871">
        <v>0</v>
      </c>
      <c r="G85" s="871">
        <v>0</v>
      </c>
      <c r="H85" s="871">
        <v>0</v>
      </c>
      <c r="I85" s="588">
        <f t="shared" si="19"/>
        <v>0</v>
      </c>
      <c r="J85" s="491" t="s">
        <v>34</v>
      </c>
      <c r="K85" s="352"/>
    </row>
    <row r="86" spans="1:11" s="47" customFormat="1" ht="110.45" customHeight="1" outlineLevel="1">
      <c r="A86" s="181" t="s">
        <v>136</v>
      </c>
      <c r="B86" s="173" t="s">
        <v>132</v>
      </c>
      <c r="C86" s="176" t="s">
        <v>133</v>
      </c>
      <c r="D86" s="220" t="s">
        <v>119</v>
      </c>
      <c r="E86" s="436">
        <v>230</v>
      </c>
      <c r="F86" s="871">
        <v>0</v>
      </c>
      <c r="G86" s="871">
        <v>0</v>
      </c>
      <c r="H86" s="871">
        <v>0</v>
      </c>
      <c r="I86" s="588">
        <f t="shared" si="19"/>
        <v>0</v>
      </c>
      <c r="J86" s="491" t="s">
        <v>34</v>
      </c>
      <c r="K86" s="352"/>
    </row>
    <row r="87" spans="1:11" s="47" customFormat="1" ht="94.7" customHeight="1" outlineLevel="1">
      <c r="A87" s="181" t="s">
        <v>140</v>
      </c>
      <c r="B87" s="173" t="s">
        <v>135</v>
      </c>
      <c r="C87" s="176" t="s">
        <v>827</v>
      </c>
      <c r="D87" s="220" t="s">
        <v>119</v>
      </c>
      <c r="E87" s="436">
        <v>320</v>
      </c>
      <c r="F87" s="871">
        <v>0</v>
      </c>
      <c r="G87" s="871">
        <v>0</v>
      </c>
      <c r="H87" s="871">
        <v>0</v>
      </c>
      <c r="I87" s="588">
        <f t="shared" si="19"/>
        <v>0</v>
      </c>
      <c r="J87" s="491" t="s">
        <v>34</v>
      </c>
      <c r="K87" s="352"/>
    </row>
    <row r="88" spans="1:11" s="47" customFormat="1" ht="98.1" customHeight="1" outlineLevel="1">
      <c r="A88" s="181" t="s">
        <v>142</v>
      </c>
      <c r="B88" s="186" t="s">
        <v>137</v>
      </c>
      <c r="C88" s="174" t="s">
        <v>138</v>
      </c>
      <c r="D88" s="226" t="s">
        <v>139</v>
      </c>
      <c r="E88" s="436">
        <v>1</v>
      </c>
      <c r="F88" s="871">
        <v>0</v>
      </c>
      <c r="G88" s="871">
        <v>0</v>
      </c>
      <c r="H88" s="871">
        <v>0</v>
      </c>
      <c r="I88" s="605">
        <f>SUM(F88:H88)*E88</f>
        <v>0</v>
      </c>
      <c r="J88" s="492" t="s">
        <v>34</v>
      </c>
      <c r="K88" s="351"/>
    </row>
    <row r="89" spans="1:11" s="47" customFormat="1" ht="73.5" customHeight="1" outlineLevel="1">
      <c r="A89" s="181" t="s">
        <v>830</v>
      </c>
      <c r="B89" s="173" t="s">
        <v>141</v>
      </c>
      <c r="C89" s="178" t="s">
        <v>94</v>
      </c>
      <c r="D89" s="220" t="s">
        <v>63</v>
      </c>
      <c r="E89" s="436">
        <v>1</v>
      </c>
      <c r="F89" s="871">
        <v>0</v>
      </c>
      <c r="G89" s="871">
        <v>0</v>
      </c>
      <c r="H89" s="871">
        <v>0</v>
      </c>
      <c r="I89" s="588">
        <f t="shared" si="19"/>
        <v>0</v>
      </c>
      <c r="J89" s="491" t="s">
        <v>34</v>
      </c>
      <c r="K89" s="352"/>
    </row>
    <row r="90" spans="1:11" s="47" customFormat="1" ht="45.6" customHeight="1" outlineLevel="1">
      <c r="A90" s="181" t="s">
        <v>838</v>
      </c>
      <c r="B90" s="173" t="s">
        <v>143</v>
      </c>
      <c r="C90" s="176" t="s">
        <v>817</v>
      </c>
      <c r="D90" s="227" t="s">
        <v>144</v>
      </c>
      <c r="E90" s="569">
        <f>0.185</f>
        <v>0.185</v>
      </c>
      <c r="F90" s="871">
        <v>0</v>
      </c>
      <c r="G90" s="871">
        <v>0</v>
      </c>
      <c r="H90" s="871">
        <v>0</v>
      </c>
      <c r="I90" s="588">
        <f t="shared" si="19"/>
        <v>0</v>
      </c>
      <c r="J90" s="491" t="s">
        <v>34</v>
      </c>
      <c r="K90" s="352"/>
    </row>
    <row r="91" spans="1:11" s="50" customFormat="1" ht="24" customHeight="1">
      <c r="A91" s="515" t="s">
        <v>11</v>
      </c>
      <c r="B91" s="642" t="s">
        <v>145</v>
      </c>
      <c r="C91" s="643"/>
      <c r="D91" s="644"/>
      <c r="E91" s="559"/>
      <c r="F91" s="569"/>
      <c r="G91" s="569"/>
      <c r="H91" s="569"/>
      <c r="I91" s="598"/>
      <c r="J91" s="491"/>
      <c r="K91" s="352"/>
    </row>
    <row r="92" spans="1:11" s="50" customFormat="1" ht="28.35" customHeight="1">
      <c r="A92" s="515" t="s">
        <v>146</v>
      </c>
      <c r="B92" s="642" t="s">
        <v>147</v>
      </c>
      <c r="C92" s="643"/>
      <c r="D92" s="644"/>
      <c r="E92" s="559"/>
      <c r="F92" s="569"/>
      <c r="G92" s="569"/>
      <c r="H92" s="569"/>
      <c r="I92" s="591">
        <f>SUM(I93:I110)</f>
        <v>0</v>
      </c>
      <c r="J92" s="491"/>
      <c r="K92" s="352"/>
    </row>
    <row r="93" spans="1:11" s="164" customFormat="1" ht="44.1" customHeight="1" outlineLevel="1">
      <c r="A93" s="180" t="s">
        <v>148</v>
      </c>
      <c r="B93" s="173" t="s">
        <v>149</v>
      </c>
      <c r="C93" s="178" t="s">
        <v>714</v>
      </c>
      <c r="D93" s="220" t="s">
        <v>81</v>
      </c>
      <c r="E93" s="436">
        <f>280+37+30</f>
        <v>347</v>
      </c>
      <c r="F93" s="873">
        <v>0</v>
      </c>
      <c r="G93" s="603"/>
      <c r="H93" s="873">
        <v>0</v>
      </c>
      <c r="I93" s="606">
        <f>SUM(F93:H93)*E93</f>
        <v>0</v>
      </c>
      <c r="J93" s="494" t="s">
        <v>34</v>
      </c>
      <c r="K93" s="351"/>
    </row>
    <row r="94" spans="1:11" s="164" customFormat="1" ht="72.599999999999994" customHeight="1" outlineLevel="1">
      <c r="A94" s="180" t="s">
        <v>150</v>
      </c>
      <c r="B94" s="173" t="s">
        <v>151</v>
      </c>
      <c r="C94" s="188" t="s">
        <v>152</v>
      </c>
      <c r="D94" s="224" t="s">
        <v>33</v>
      </c>
      <c r="E94" s="436">
        <v>34</v>
      </c>
      <c r="F94" s="873">
        <v>0</v>
      </c>
      <c r="G94" s="589"/>
      <c r="H94" s="873">
        <v>0</v>
      </c>
      <c r="I94" s="606">
        <f t="shared" ref="I94:I110" si="21">SUM(F94:H94)*E94</f>
        <v>0</v>
      </c>
      <c r="J94" s="494" t="s">
        <v>34</v>
      </c>
      <c r="K94" s="351"/>
    </row>
    <row r="95" spans="1:11" s="165" customFormat="1" ht="45" customHeight="1" outlineLevel="1">
      <c r="A95" s="180" t="s">
        <v>153</v>
      </c>
      <c r="B95" s="173" t="s">
        <v>83</v>
      </c>
      <c r="C95" s="169" t="s">
        <v>707</v>
      </c>
      <c r="D95" s="224" t="s">
        <v>84</v>
      </c>
      <c r="E95" s="436">
        <v>4</v>
      </c>
      <c r="F95" s="873">
        <v>0</v>
      </c>
      <c r="G95" s="589"/>
      <c r="H95" s="589"/>
      <c r="I95" s="606">
        <f t="shared" si="21"/>
        <v>0</v>
      </c>
      <c r="J95" s="494" t="s">
        <v>34</v>
      </c>
      <c r="K95" s="351"/>
    </row>
    <row r="96" spans="1:11" s="165" customFormat="1" ht="31.35" customHeight="1" outlineLevel="1">
      <c r="A96" s="180" t="s">
        <v>154</v>
      </c>
      <c r="B96" s="173" t="s">
        <v>155</v>
      </c>
      <c r="C96" s="175" t="s">
        <v>708</v>
      </c>
      <c r="D96" s="228" t="s">
        <v>81</v>
      </c>
      <c r="E96" s="570">
        <f>3+0.5</f>
        <v>3.5</v>
      </c>
      <c r="F96" s="871">
        <v>0</v>
      </c>
      <c r="G96" s="922">
        <v>0</v>
      </c>
      <c r="H96" s="920">
        <v>0</v>
      </c>
      <c r="I96" s="606">
        <f t="shared" si="21"/>
        <v>0</v>
      </c>
      <c r="J96" s="494" t="s">
        <v>34</v>
      </c>
      <c r="K96" s="351"/>
    </row>
    <row r="97" spans="1:16" s="165" customFormat="1" ht="40.5" customHeight="1" outlineLevel="1">
      <c r="A97" s="656" t="s">
        <v>156</v>
      </c>
      <c r="B97" s="689" t="s">
        <v>157</v>
      </c>
      <c r="C97" s="692" t="s">
        <v>1066</v>
      </c>
      <c r="D97" s="695" t="s">
        <v>81</v>
      </c>
      <c r="E97" s="698">
        <f>42+2.2</f>
        <v>44.2</v>
      </c>
      <c r="F97" s="918">
        <v>0</v>
      </c>
      <c r="G97" s="666">
        <f>SUM(P97:P99)/E97</f>
        <v>0</v>
      </c>
      <c r="H97" s="921">
        <v>0</v>
      </c>
      <c r="I97" s="666">
        <f t="shared" si="21"/>
        <v>0</v>
      </c>
      <c r="J97" s="652" t="s">
        <v>34</v>
      </c>
      <c r="K97" s="655"/>
      <c r="L97" s="501" t="s">
        <v>1062</v>
      </c>
      <c r="M97" s="465" t="s">
        <v>250</v>
      </c>
      <c r="N97" s="466">
        <v>1</v>
      </c>
      <c r="O97" s="537">
        <v>0</v>
      </c>
      <c r="P97" s="466">
        <f>O97*N97</f>
        <v>0</v>
      </c>
    </row>
    <row r="98" spans="1:16" s="165" customFormat="1" ht="26.1" customHeight="1" outlineLevel="1">
      <c r="A98" s="687"/>
      <c r="B98" s="690"/>
      <c r="C98" s="693"/>
      <c r="D98" s="696"/>
      <c r="E98" s="699"/>
      <c r="F98" s="923"/>
      <c r="G98" s="701"/>
      <c r="H98" s="923"/>
      <c r="I98" s="701"/>
      <c r="J98" s="653"/>
      <c r="K98" s="655"/>
      <c r="L98" s="502" t="s">
        <v>1065</v>
      </c>
      <c r="M98" s="465" t="s">
        <v>52</v>
      </c>
      <c r="N98" s="466">
        <v>44.2</v>
      </c>
      <c r="O98" s="537">
        <v>0</v>
      </c>
      <c r="P98" s="466">
        <f t="shared" ref="P98:P99" si="22">O98*N98</f>
        <v>0</v>
      </c>
    </row>
    <row r="99" spans="1:16" s="165" customFormat="1" ht="23.1" customHeight="1" outlineLevel="1">
      <c r="A99" s="688"/>
      <c r="B99" s="691"/>
      <c r="C99" s="694"/>
      <c r="D99" s="697"/>
      <c r="E99" s="700"/>
      <c r="F99" s="924"/>
      <c r="G99" s="702"/>
      <c r="H99" s="924"/>
      <c r="I99" s="702"/>
      <c r="J99" s="654"/>
      <c r="K99" s="655"/>
      <c r="L99" s="502" t="s">
        <v>1063</v>
      </c>
      <c r="M99" s="465" t="s">
        <v>181</v>
      </c>
      <c r="N99" s="466">
        <f xml:space="preserve"> 1.22</f>
        <v>1.22</v>
      </c>
      <c r="O99" s="537">
        <v>0</v>
      </c>
      <c r="P99" s="466">
        <f t="shared" si="22"/>
        <v>0</v>
      </c>
    </row>
    <row r="100" spans="1:16" s="165" customFormat="1" ht="74.099999999999994" customHeight="1" outlineLevel="1">
      <c r="A100" s="180" t="s">
        <v>158</v>
      </c>
      <c r="B100" s="173" t="s">
        <v>159</v>
      </c>
      <c r="C100" s="175" t="s">
        <v>709</v>
      </c>
      <c r="D100" s="177" t="s">
        <v>85</v>
      </c>
      <c r="E100" s="436">
        <f>380+85+6*2.5</f>
        <v>480</v>
      </c>
      <c r="F100" s="873">
        <v>0</v>
      </c>
      <c r="G100" s="873">
        <v>0</v>
      </c>
      <c r="H100" s="873">
        <v>0</v>
      </c>
      <c r="I100" s="606">
        <f t="shared" si="21"/>
        <v>0</v>
      </c>
      <c r="J100" s="494" t="s">
        <v>34</v>
      </c>
      <c r="K100" s="351"/>
    </row>
    <row r="101" spans="1:16" s="165" customFormat="1" ht="97.7" customHeight="1" outlineLevel="1">
      <c r="A101" s="180" t="s">
        <v>160</v>
      </c>
      <c r="B101" s="173" t="s">
        <v>161</v>
      </c>
      <c r="C101" s="178" t="s">
        <v>713</v>
      </c>
      <c r="D101" s="228" t="s">
        <v>81</v>
      </c>
      <c r="E101" s="436">
        <v>226</v>
      </c>
      <c r="F101" s="873">
        <v>0</v>
      </c>
      <c r="G101" s="893">
        <v>0</v>
      </c>
      <c r="H101" s="873">
        <v>0</v>
      </c>
      <c r="I101" s="606">
        <f t="shared" si="21"/>
        <v>0</v>
      </c>
      <c r="J101" s="494" t="s">
        <v>34</v>
      </c>
      <c r="K101" s="351"/>
    </row>
    <row r="102" spans="1:16" s="165" customFormat="1" ht="82.5" customHeight="1" outlineLevel="1">
      <c r="A102" s="180" t="s">
        <v>162</v>
      </c>
      <c r="B102" s="173" t="s">
        <v>717</v>
      </c>
      <c r="C102" s="175" t="s">
        <v>718</v>
      </c>
      <c r="D102" s="228" t="s">
        <v>81</v>
      </c>
      <c r="E102" s="436">
        <f>1.1+2*2.3</f>
        <v>5.6999999999999993</v>
      </c>
      <c r="F102" s="873">
        <v>0</v>
      </c>
      <c r="G102" s="873">
        <v>0</v>
      </c>
      <c r="H102" s="873">
        <v>0</v>
      </c>
      <c r="I102" s="606">
        <f t="shared" si="21"/>
        <v>0</v>
      </c>
      <c r="J102" s="494" t="s">
        <v>34</v>
      </c>
      <c r="K102" s="351"/>
    </row>
    <row r="103" spans="1:16" s="165" customFormat="1" ht="75.599999999999994" customHeight="1" outlineLevel="1">
      <c r="A103" s="180" t="s">
        <v>163</v>
      </c>
      <c r="B103" s="173" t="s">
        <v>164</v>
      </c>
      <c r="C103" s="175" t="s">
        <v>716</v>
      </c>
      <c r="D103" s="177" t="s">
        <v>85</v>
      </c>
      <c r="E103" s="436">
        <v>384</v>
      </c>
      <c r="F103" s="873">
        <v>0</v>
      </c>
      <c r="G103" s="873">
        <v>0</v>
      </c>
      <c r="H103" s="873">
        <v>0</v>
      </c>
      <c r="I103" s="606">
        <f t="shared" si="21"/>
        <v>0</v>
      </c>
      <c r="J103" s="494" t="s">
        <v>34</v>
      </c>
      <c r="K103" s="351"/>
    </row>
    <row r="104" spans="1:16" s="165" customFormat="1" ht="75.95" customHeight="1" outlineLevel="1">
      <c r="A104" s="180" t="s">
        <v>165</v>
      </c>
      <c r="B104" s="173" t="s">
        <v>166</v>
      </c>
      <c r="C104" s="169" t="s">
        <v>152</v>
      </c>
      <c r="D104" s="224" t="s">
        <v>33</v>
      </c>
      <c r="E104" s="436">
        <v>124</v>
      </c>
      <c r="F104" s="873">
        <v>0</v>
      </c>
      <c r="G104" s="589"/>
      <c r="H104" s="873">
        <v>0</v>
      </c>
      <c r="I104" s="606">
        <f t="shared" ref="I104" si="23">SUM(F104:H104)*E104</f>
        <v>0</v>
      </c>
      <c r="J104" s="494" t="s">
        <v>34</v>
      </c>
      <c r="K104" s="351"/>
    </row>
    <row r="105" spans="1:16" s="165" customFormat="1" ht="31.35" customHeight="1" outlineLevel="1">
      <c r="A105" s="180" t="s">
        <v>167</v>
      </c>
      <c r="B105" s="173" t="s">
        <v>711</v>
      </c>
      <c r="C105" s="176" t="s">
        <v>712</v>
      </c>
      <c r="D105" s="220" t="s">
        <v>52</v>
      </c>
      <c r="E105" s="436">
        <f>37+5</f>
        <v>42</v>
      </c>
      <c r="F105" s="871">
        <v>0</v>
      </c>
      <c r="G105" s="871">
        <v>0</v>
      </c>
      <c r="H105" s="872">
        <v>0</v>
      </c>
      <c r="I105" s="606">
        <f t="shared" ref="I105" si="24">SUM(F105:H105)*E105</f>
        <v>0</v>
      </c>
      <c r="J105" s="491" t="s">
        <v>34</v>
      </c>
      <c r="K105" s="351"/>
    </row>
    <row r="106" spans="1:16" s="165" customFormat="1" ht="43.5" customHeight="1" outlineLevel="1">
      <c r="A106" s="180" t="s">
        <v>169</v>
      </c>
      <c r="B106" s="173" t="s">
        <v>168</v>
      </c>
      <c r="C106" s="175" t="s">
        <v>710</v>
      </c>
      <c r="D106" s="228" t="s">
        <v>81</v>
      </c>
      <c r="E106" s="436">
        <v>12</v>
      </c>
      <c r="F106" s="871">
        <v>0</v>
      </c>
      <c r="G106" s="922">
        <v>0</v>
      </c>
      <c r="H106" s="920">
        <v>0</v>
      </c>
      <c r="I106" s="606">
        <f t="shared" ref="I106" si="25">SUM(F106:H106)*E106</f>
        <v>0</v>
      </c>
      <c r="J106" s="494" t="s">
        <v>34</v>
      </c>
      <c r="K106" s="351"/>
    </row>
    <row r="107" spans="1:16" s="165" customFormat="1" ht="32.1" customHeight="1" outlineLevel="1">
      <c r="A107" s="656" t="s">
        <v>171</v>
      </c>
      <c r="B107" s="658" t="s">
        <v>170</v>
      </c>
      <c r="C107" s="660" t="s">
        <v>715</v>
      </c>
      <c r="D107" s="662" t="s">
        <v>52</v>
      </c>
      <c r="E107" s="664">
        <v>18</v>
      </c>
      <c r="F107" s="918">
        <v>0</v>
      </c>
      <c r="G107" s="666">
        <f>SUM(P107:P108)/E107</f>
        <v>0</v>
      </c>
      <c r="H107" s="921">
        <v>0</v>
      </c>
      <c r="I107" s="668">
        <f t="shared" si="21"/>
        <v>0</v>
      </c>
      <c r="J107" s="652" t="s">
        <v>34</v>
      </c>
      <c r="K107" s="655"/>
      <c r="L107" s="502" t="s">
        <v>1065</v>
      </c>
      <c r="M107" s="465" t="s">
        <v>52</v>
      </c>
      <c r="N107" s="466">
        <v>18</v>
      </c>
      <c r="O107" s="537">
        <v>0</v>
      </c>
      <c r="P107" s="466">
        <f t="shared" ref="P107:P108" si="26">O107*N107</f>
        <v>0</v>
      </c>
    </row>
    <row r="108" spans="1:16" s="165" customFormat="1" ht="31.5" customHeight="1" outlineLevel="1">
      <c r="A108" s="657"/>
      <c r="B108" s="659"/>
      <c r="C108" s="661"/>
      <c r="D108" s="663"/>
      <c r="E108" s="665"/>
      <c r="F108" s="919"/>
      <c r="G108" s="667"/>
      <c r="H108" s="919"/>
      <c r="I108" s="669"/>
      <c r="J108" s="654"/>
      <c r="K108" s="655"/>
      <c r="L108" s="502" t="s">
        <v>1064</v>
      </c>
      <c r="M108" s="465" t="s">
        <v>181</v>
      </c>
      <c r="N108" s="466">
        <f xml:space="preserve"> 0.903</f>
        <v>0.90300000000000002</v>
      </c>
      <c r="O108" s="537">
        <v>0</v>
      </c>
      <c r="P108" s="466">
        <f t="shared" si="26"/>
        <v>0</v>
      </c>
    </row>
    <row r="109" spans="1:16" s="165" customFormat="1" ht="43.5" customHeight="1" outlineLevel="1">
      <c r="A109" s="180" t="s">
        <v>174</v>
      </c>
      <c r="B109" s="173" t="s">
        <v>172</v>
      </c>
      <c r="C109" s="175" t="s">
        <v>173</v>
      </c>
      <c r="D109" s="177" t="s">
        <v>33</v>
      </c>
      <c r="E109" s="436">
        <v>124</v>
      </c>
      <c r="F109" s="873">
        <v>0</v>
      </c>
      <c r="G109" s="873">
        <v>0</v>
      </c>
      <c r="H109" s="873">
        <v>0</v>
      </c>
      <c r="I109" s="606">
        <f t="shared" si="21"/>
        <v>0</v>
      </c>
      <c r="J109" s="494" t="s">
        <v>34</v>
      </c>
      <c r="K109" s="351"/>
    </row>
    <row r="110" spans="1:16" s="165" customFormat="1" ht="57.95" customHeight="1" outlineLevel="1">
      <c r="A110" s="180" t="s">
        <v>719</v>
      </c>
      <c r="B110" s="173" t="s">
        <v>175</v>
      </c>
      <c r="C110" s="178" t="s">
        <v>720</v>
      </c>
      <c r="D110" s="177" t="s">
        <v>176</v>
      </c>
      <c r="E110" s="436">
        <f>138+95</f>
        <v>233</v>
      </c>
      <c r="F110" s="873">
        <v>0</v>
      </c>
      <c r="G110" s="893">
        <v>0</v>
      </c>
      <c r="H110" s="873">
        <v>0</v>
      </c>
      <c r="I110" s="606">
        <f t="shared" si="21"/>
        <v>0</v>
      </c>
      <c r="J110" s="494" t="s">
        <v>34</v>
      </c>
      <c r="K110" s="351"/>
    </row>
    <row r="111" spans="1:16" s="49" customFormat="1" ht="26.45" customHeight="1" thickBot="1">
      <c r="A111" s="515" t="s">
        <v>177</v>
      </c>
      <c r="B111" s="630" t="s">
        <v>178</v>
      </c>
      <c r="C111" s="631"/>
      <c r="D111" s="632"/>
      <c r="E111" s="559"/>
      <c r="F111" s="569"/>
      <c r="G111" s="569"/>
      <c r="H111" s="569"/>
      <c r="I111" s="591">
        <f>SUM(I112:I134)</f>
        <v>0</v>
      </c>
      <c r="J111" s="491"/>
      <c r="K111" s="352"/>
    </row>
    <row r="112" spans="1:16" s="49" customFormat="1" ht="27.6" customHeight="1" outlineLevel="1">
      <c r="A112" s="673" t="s">
        <v>179</v>
      </c>
      <c r="B112" s="658" t="s">
        <v>180</v>
      </c>
      <c r="C112" s="660" t="s">
        <v>704</v>
      </c>
      <c r="D112" s="678" t="s">
        <v>181</v>
      </c>
      <c r="E112" s="681">
        <f>(0.072+0.0481+0.1526+0.155+0.1373*2+0.1538+0.1508+0.1353*2+0.1272*2+0.0686+0.0642+0.0615+0.064+0.062+0.0638*2)*1.04</f>
        <v>2.0589919999999999</v>
      </c>
      <c r="F112" s="912">
        <v>0</v>
      </c>
      <c r="G112" s="723">
        <f>SUM(P112:P115)/E112</f>
        <v>0</v>
      </c>
      <c r="H112" s="917">
        <v>0</v>
      </c>
      <c r="I112" s="670">
        <f t="shared" ref="I112:I116" si="27">SUM(F112:H112)*E112</f>
        <v>0</v>
      </c>
      <c r="J112" s="652" t="s">
        <v>34</v>
      </c>
      <c r="K112" s="672"/>
      <c r="L112" s="549" t="s">
        <v>1067</v>
      </c>
      <c r="M112" s="467" t="s">
        <v>181</v>
      </c>
      <c r="N112" s="468">
        <v>2.06</v>
      </c>
      <c r="O112" s="538">
        <v>0</v>
      </c>
      <c r="P112" s="469">
        <f>O112*N112</f>
        <v>0</v>
      </c>
    </row>
    <row r="113" spans="1:16" s="49" customFormat="1" ht="24.6" customHeight="1" outlineLevel="1">
      <c r="A113" s="674"/>
      <c r="B113" s="676"/>
      <c r="C113" s="677"/>
      <c r="D113" s="679"/>
      <c r="E113" s="682"/>
      <c r="F113" s="913"/>
      <c r="G113" s="724"/>
      <c r="H113" s="909"/>
      <c r="I113" s="671"/>
      <c r="J113" s="653"/>
      <c r="K113" s="672"/>
      <c r="L113" s="554" t="s">
        <v>1069</v>
      </c>
      <c r="M113" s="547" t="s">
        <v>139</v>
      </c>
      <c r="N113" s="617">
        <v>1</v>
      </c>
      <c r="O113" s="544">
        <v>0</v>
      </c>
      <c r="P113" s="470">
        <f t="shared" ref="P113:P115" si="28">O113*N113</f>
        <v>0</v>
      </c>
    </row>
    <row r="114" spans="1:16" s="49" customFormat="1" ht="15.95" customHeight="1" outlineLevel="1">
      <c r="A114" s="674"/>
      <c r="B114" s="676"/>
      <c r="C114" s="677"/>
      <c r="D114" s="679"/>
      <c r="E114" s="682"/>
      <c r="F114" s="913"/>
      <c r="G114" s="724"/>
      <c r="H114" s="909"/>
      <c r="I114" s="671"/>
      <c r="J114" s="653"/>
      <c r="K114" s="672"/>
      <c r="L114" s="554" t="s">
        <v>1070</v>
      </c>
      <c r="M114" s="547" t="s">
        <v>139</v>
      </c>
      <c r="N114" s="617">
        <v>1</v>
      </c>
      <c r="O114" s="544">
        <v>0</v>
      </c>
      <c r="P114" s="470">
        <f t="shared" si="28"/>
        <v>0</v>
      </c>
    </row>
    <row r="115" spans="1:16" s="49" customFormat="1" ht="19.5" customHeight="1" outlineLevel="1" thickBot="1">
      <c r="A115" s="675"/>
      <c r="B115" s="659"/>
      <c r="C115" s="661"/>
      <c r="D115" s="680"/>
      <c r="E115" s="683"/>
      <c r="F115" s="914"/>
      <c r="G115" s="725"/>
      <c r="H115" s="910"/>
      <c r="I115" s="669"/>
      <c r="J115" s="654"/>
      <c r="K115" s="672"/>
      <c r="L115" s="551" t="s">
        <v>1068</v>
      </c>
      <c r="M115" s="14" t="s">
        <v>139</v>
      </c>
      <c r="N115" s="471">
        <v>1</v>
      </c>
      <c r="O115" s="539">
        <v>0</v>
      </c>
      <c r="P115" s="472">
        <f t="shared" si="28"/>
        <v>0</v>
      </c>
    </row>
    <row r="116" spans="1:16" s="49" customFormat="1" ht="33" customHeight="1" outlineLevel="1">
      <c r="A116" s="740" t="s">
        <v>182</v>
      </c>
      <c r="B116" s="703" t="s">
        <v>183</v>
      </c>
      <c r="C116" s="706" t="s">
        <v>705</v>
      </c>
      <c r="D116" s="678" t="s">
        <v>181</v>
      </c>
      <c r="E116" s="710">
        <f>(0.29+0.2954+0.1749+0.186+0.2825+0.5703*2+0.0957+0.0881+0.31+0.2842+1.6912+0.0661+0.1869+0.4518+0.098)*1.04</f>
        <v>5.8670559999999981</v>
      </c>
      <c r="F116" s="915">
        <v>0</v>
      </c>
      <c r="G116" s="723">
        <f>SUM(P116:P119)/E116</f>
        <v>0</v>
      </c>
      <c r="H116" s="911">
        <v>0</v>
      </c>
      <c r="I116" s="670">
        <f t="shared" si="27"/>
        <v>0</v>
      </c>
      <c r="J116" s="735" t="s">
        <v>34</v>
      </c>
      <c r="K116" s="729"/>
      <c r="L116" s="549" t="s">
        <v>1067</v>
      </c>
      <c r="M116" s="467" t="s">
        <v>181</v>
      </c>
      <c r="N116" s="468">
        <v>5.87</v>
      </c>
      <c r="O116" s="538">
        <v>0</v>
      </c>
      <c r="P116" s="469">
        <f>O116*N116</f>
        <v>0</v>
      </c>
    </row>
    <row r="117" spans="1:16" s="49" customFormat="1" ht="24.95" customHeight="1" outlineLevel="1">
      <c r="A117" s="674"/>
      <c r="B117" s="704"/>
      <c r="C117" s="707"/>
      <c r="D117" s="679"/>
      <c r="E117" s="711"/>
      <c r="F117" s="913"/>
      <c r="G117" s="724"/>
      <c r="H117" s="909"/>
      <c r="I117" s="671"/>
      <c r="J117" s="736"/>
      <c r="K117" s="729"/>
      <c r="L117" s="554" t="s">
        <v>1069</v>
      </c>
      <c r="M117" s="547" t="s">
        <v>139</v>
      </c>
      <c r="N117" s="617">
        <v>1</v>
      </c>
      <c r="O117" s="544">
        <v>0</v>
      </c>
      <c r="P117" s="470">
        <f t="shared" ref="P117:P119" si="29">O117*N117</f>
        <v>0</v>
      </c>
    </row>
    <row r="118" spans="1:16" s="49" customFormat="1" ht="27.95" customHeight="1" outlineLevel="1">
      <c r="A118" s="674"/>
      <c r="B118" s="704"/>
      <c r="C118" s="707"/>
      <c r="D118" s="679"/>
      <c r="E118" s="711"/>
      <c r="F118" s="913"/>
      <c r="G118" s="724"/>
      <c r="H118" s="909"/>
      <c r="I118" s="671"/>
      <c r="J118" s="736"/>
      <c r="K118" s="729"/>
      <c r="L118" s="554" t="s">
        <v>1070</v>
      </c>
      <c r="M118" s="547" t="s">
        <v>139</v>
      </c>
      <c r="N118" s="617">
        <v>1</v>
      </c>
      <c r="O118" s="544">
        <v>0</v>
      </c>
      <c r="P118" s="470">
        <f t="shared" si="29"/>
        <v>0</v>
      </c>
    </row>
    <row r="119" spans="1:16" s="49" customFormat="1" ht="24.95" customHeight="1" outlineLevel="1" thickBot="1">
      <c r="A119" s="730"/>
      <c r="B119" s="705"/>
      <c r="C119" s="708"/>
      <c r="D119" s="709"/>
      <c r="E119" s="712"/>
      <c r="F119" s="914"/>
      <c r="G119" s="725"/>
      <c r="H119" s="910"/>
      <c r="I119" s="734"/>
      <c r="J119" s="737"/>
      <c r="K119" s="729"/>
      <c r="L119" s="551" t="s">
        <v>1068</v>
      </c>
      <c r="M119" s="14" t="s">
        <v>139</v>
      </c>
      <c r="N119" s="471">
        <v>1</v>
      </c>
      <c r="O119" s="539">
        <v>0</v>
      </c>
      <c r="P119" s="472">
        <f t="shared" si="29"/>
        <v>0</v>
      </c>
    </row>
    <row r="120" spans="1:16" s="49" customFormat="1" ht="27.95" customHeight="1" outlineLevel="1">
      <c r="A120" s="673" t="s">
        <v>184</v>
      </c>
      <c r="B120" s="731" t="s">
        <v>185</v>
      </c>
      <c r="C120" s="732" t="s">
        <v>703</v>
      </c>
      <c r="D120" s="713" t="s">
        <v>181</v>
      </c>
      <c r="E120" s="733">
        <v>1.79</v>
      </c>
      <c r="F120" s="916">
        <v>0</v>
      </c>
      <c r="G120" s="723">
        <f>SUM(P120:P123)/E120</f>
        <v>0</v>
      </c>
      <c r="H120" s="908">
        <v>0</v>
      </c>
      <c r="I120" s="668">
        <f t="shared" ref="I120" si="30">SUM(F120:H120)*E120</f>
        <v>0</v>
      </c>
      <c r="J120" s="735" t="s">
        <v>34</v>
      </c>
      <c r="K120" s="729"/>
      <c r="L120" s="549" t="s">
        <v>1067</v>
      </c>
      <c r="M120" s="467" t="s">
        <v>181</v>
      </c>
      <c r="N120" s="468">
        <v>1.79</v>
      </c>
      <c r="O120" s="538">
        <v>0</v>
      </c>
      <c r="P120" s="469">
        <f>O120*N120</f>
        <v>0</v>
      </c>
    </row>
    <row r="121" spans="1:16" s="49" customFormat="1" ht="23.45" customHeight="1" outlineLevel="1">
      <c r="A121" s="674"/>
      <c r="B121" s="704"/>
      <c r="C121" s="707"/>
      <c r="D121" s="679"/>
      <c r="E121" s="711"/>
      <c r="F121" s="913"/>
      <c r="G121" s="724"/>
      <c r="H121" s="909"/>
      <c r="I121" s="671"/>
      <c r="J121" s="736"/>
      <c r="K121" s="729"/>
      <c r="L121" s="554" t="s">
        <v>1069</v>
      </c>
      <c r="M121" s="547" t="s">
        <v>139</v>
      </c>
      <c r="N121" s="617">
        <v>1</v>
      </c>
      <c r="O121" s="544">
        <v>0</v>
      </c>
      <c r="P121" s="470">
        <f t="shared" ref="P121:P123" si="31">O121*N121</f>
        <v>0</v>
      </c>
    </row>
    <row r="122" spans="1:16" s="49" customFormat="1" ht="23.45" customHeight="1" outlineLevel="1">
      <c r="A122" s="674"/>
      <c r="B122" s="704"/>
      <c r="C122" s="707"/>
      <c r="D122" s="679"/>
      <c r="E122" s="711"/>
      <c r="F122" s="913"/>
      <c r="G122" s="724"/>
      <c r="H122" s="909"/>
      <c r="I122" s="671"/>
      <c r="J122" s="736"/>
      <c r="K122" s="729"/>
      <c r="L122" s="554" t="s">
        <v>1070</v>
      </c>
      <c r="M122" s="547" t="s">
        <v>139</v>
      </c>
      <c r="N122" s="617">
        <v>1</v>
      </c>
      <c r="O122" s="544">
        <v>0</v>
      </c>
      <c r="P122" s="470">
        <f t="shared" si="31"/>
        <v>0</v>
      </c>
    </row>
    <row r="123" spans="1:16" s="49" customFormat="1" ht="24.95" customHeight="1" outlineLevel="1" thickBot="1">
      <c r="A123" s="730"/>
      <c r="B123" s="705"/>
      <c r="C123" s="708"/>
      <c r="D123" s="709"/>
      <c r="E123" s="712"/>
      <c r="F123" s="914"/>
      <c r="G123" s="725"/>
      <c r="H123" s="910"/>
      <c r="I123" s="734"/>
      <c r="J123" s="737"/>
      <c r="K123" s="729"/>
      <c r="L123" s="551" t="s">
        <v>1068</v>
      </c>
      <c r="M123" s="14" t="s">
        <v>139</v>
      </c>
      <c r="N123" s="471">
        <v>1</v>
      </c>
      <c r="O123" s="539">
        <v>0</v>
      </c>
      <c r="P123" s="472">
        <f t="shared" si="31"/>
        <v>0</v>
      </c>
    </row>
    <row r="124" spans="1:16" s="49" customFormat="1" ht="78.95" customHeight="1" outlineLevel="1">
      <c r="A124" s="673" t="s">
        <v>186</v>
      </c>
      <c r="B124" s="748" t="s">
        <v>1073</v>
      </c>
      <c r="C124" s="750" t="s">
        <v>982</v>
      </c>
      <c r="D124" s="713" t="s">
        <v>82</v>
      </c>
      <c r="E124" s="752">
        <v>157</v>
      </c>
      <c r="F124" s="916">
        <v>0</v>
      </c>
      <c r="G124" s="741">
        <f>SUM(P124:P125)/E124</f>
        <v>0</v>
      </c>
      <c r="H124" s="908">
        <v>0</v>
      </c>
      <c r="I124" s="668">
        <f t="shared" ref="I124" si="32">SUM(F124:H124)*E124</f>
        <v>0</v>
      </c>
      <c r="J124" s="746" t="s">
        <v>34</v>
      </c>
      <c r="K124" s="729"/>
      <c r="L124" s="549" t="s">
        <v>1074</v>
      </c>
      <c r="M124" s="619" t="s">
        <v>82</v>
      </c>
      <c r="N124" s="468">
        <v>157</v>
      </c>
      <c r="O124" s="538">
        <v>0</v>
      </c>
      <c r="P124" s="469">
        <f>O124*N124</f>
        <v>0</v>
      </c>
    </row>
    <row r="125" spans="1:16" s="49" customFormat="1" ht="81.95" customHeight="1" outlineLevel="1" thickBot="1">
      <c r="A125" s="730"/>
      <c r="B125" s="749"/>
      <c r="C125" s="751"/>
      <c r="D125" s="709"/>
      <c r="E125" s="716"/>
      <c r="F125" s="914"/>
      <c r="G125" s="742"/>
      <c r="H125" s="910"/>
      <c r="I125" s="734"/>
      <c r="J125" s="747"/>
      <c r="K125" s="729"/>
      <c r="L125" s="551" t="s">
        <v>1075</v>
      </c>
      <c r="M125" s="473" t="s">
        <v>139</v>
      </c>
      <c r="N125" s="620">
        <v>1</v>
      </c>
      <c r="O125" s="539">
        <v>0</v>
      </c>
      <c r="P125" s="472">
        <f t="shared" ref="P125" si="33">O125*N125</f>
        <v>0</v>
      </c>
    </row>
    <row r="126" spans="1:16" s="49" customFormat="1" ht="55.5" customHeight="1" outlineLevel="1">
      <c r="A126" s="673" t="s">
        <v>187</v>
      </c>
      <c r="B126" s="703" t="s">
        <v>1071</v>
      </c>
      <c r="C126" s="706" t="s">
        <v>702</v>
      </c>
      <c r="D126" s="678" t="s">
        <v>33</v>
      </c>
      <c r="E126" s="714">
        <v>138</v>
      </c>
      <c r="F126" s="915">
        <v>0</v>
      </c>
      <c r="G126" s="741">
        <f>SUM(P126:P127)/E126</f>
        <v>0</v>
      </c>
      <c r="H126" s="911">
        <v>0</v>
      </c>
      <c r="I126" s="670">
        <f>SUM(F126:H126)*E126</f>
        <v>0</v>
      </c>
      <c r="J126" s="743" t="s">
        <v>34</v>
      </c>
      <c r="K126" s="745"/>
      <c r="L126" s="549" t="s">
        <v>1076</v>
      </c>
      <c r="M126" s="619" t="s">
        <v>82</v>
      </c>
      <c r="N126" s="468">
        <v>157</v>
      </c>
      <c r="O126" s="538">
        <v>0</v>
      </c>
      <c r="P126" s="469">
        <f>O126*N126</f>
        <v>0</v>
      </c>
    </row>
    <row r="127" spans="1:16" s="49" customFormat="1" ht="54.6" customHeight="1" outlineLevel="1" thickBot="1">
      <c r="A127" s="730"/>
      <c r="B127" s="705"/>
      <c r="C127" s="708"/>
      <c r="D127" s="709"/>
      <c r="E127" s="716"/>
      <c r="F127" s="914"/>
      <c r="G127" s="742"/>
      <c r="H127" s="910"/>
      <c r="I127" s="734"/>
      <c r="J127" s="744"/>
      <c r="K127" s="745"/>
      <c r="L127" s="551" t="s">
        <v>1075</v>
      </c>
      <c r="M127" s="473" t="s">
        <v>139</v>
      </c>
      <c r="N127" s="620">
        <v>1</v>
      </c>
      <c r="O127" s="539">
        <v>0</v>
      </c>
      <c r="P127" s="472">
        <f t="shared" ref="P127" si="34">O127*N127</f>
        <v>0</v>
      </c>
    </row>
    <row r="128" spans="1:16" s="47" customFormat="1" ht="128.44999999999999" customHeight="1" outlineLevel="1">
      <c r="A128" s="181" t="s">
        <v>188</v>
      </c>
      <c r="B128" s="173" t="s">
        <v>701</v>
      </c>
      <c r="C128" s="176" t="s">
        <v>700</v>
      </c>
      <c r="D128" s="220" t="s">
        <v>37</v>
      </c>
      <c r="E128" s="436">
        <v>23</v>
      </c>
      <c r="F128" s="871">
        <v>0</v>
      </c>
      <c r="G128" s="871">
        <v>0</v>
      </c>
      <c r="H128" s="871">
        <v>0</v>
      </c>
      <c r="I128" s="606">
        <f>SUM(F128:H128)*E128</f>
        <v>0</v>
      </c>
      <c r="J128" s="491" t="s">
        <v>34</v>
      </c>
      <c r="K128" s="352"/>
    </row>
    <row r="129" spans="1:16" s="47" customFormat="1" ht="44.45" customHeight="1" outlineLevel="1">
      <c r="A129" s="181" t="s">
        <v>1040</v>
      </c>
      <c r="B129" s="356" t="s">
        <v>983</v>
      </c>
      <c r="C129" s="445" t="s">
        <v>984</v>
      </c>
      <c r="D129" s="446" t="s">
        <v>33</v>
      </c>
      <c r="E129" s="560">
        <v>50</v>
      </c>
      <c r="F129" s="906">
        <v>0</v>
      </c>
      <c r="G129" s="907">
        <v>0</v>
      </c>
      <c r="H129" s="906">
        <v>0</v>
      </c>
      <c r="I129" s="606">
        <f>SUM(F129:H129)*E129</f>
        <v>0</v>
      </c>
      <c r="J129" s="491" t="s">
        <v>34</v>
      </c>
      <c r="K129" s="352"/>
    </row>
    <row r="130" spans="1:16" s="47" customFormat="1" ht="58.35" customHeight="1" outlineLevel="1" thickBot="1">
      <c r="A130" s="181" t="s">
        <v>192</v>
      </c>
      <c r="B130" s="173" t="s">
        <v>189</v>
      </c>
      <c r="C130" s="176" t="s">
        <v>190</v>
      </c>
      <c r="D130" s="220" t="s">
        <v>191</v>
      </c>
      <c r="E130" s="569">
        <v>0.42</v>
      </c>
      <c r="F130" s="871">
        <v>0</v>
      </c>
      <c r="G130" s="893">
        <v>0</v>
      </c>
      <c r="H130" s="871">
        <v>0</v>
      </c>
      <c r="I130" s="606">
        <f t="shared" ref="I130" si="35">SUM(F130:H130)*E130</f>
        <v>0</v>
      </c>
      <c r="J130" s="491" t="s">
        <v>34</v>
      </c>
      <c r="K130" s="352"/>
    </row>
    <row r="131" spans="1:16" s="47" customFormat="1" ht="66" customHeight="1" outlineLevel="1">
      <c r="A131" s="673" t="s">
        <v>194</v>
      </c>
      <c r="B131" s="731" t="s">
        <v>193</v>
      </c>
      <c r="C131" s="732" t="s">
        <v>706</v>
      </c>
      <c r="D131" s="713" t="s">
        <v>33</v>
      </c>
      <c r="E131" s="714">
        <f>184+90+25</f>
        <v>299</v>
      </c>
      <c r="F131" s="738">
        <v>0</v>
      </c>
      <c r="G131" s="762">
        <f>SUM(P131:P133)/E131</f>
        <v>0</v>
      </c>
      <c r="H131" s="739">
        <v>0</v>
      </c>
      <c r="I131" s="668">
        <f t="shared" ref="I131" si="36">SUM(F131:H131)*E131</f>
        <v>0</v>
      </c>
      <c r="J131" s="743" t="s">
        <v>34</v>
      </c>
      <c r="K131" s="745"/>
      <c r="L131" s="549" t="s">
        <v>1077</v>
      </c>
      <c r="M131" s="619" t="s">
        <v>82</v>
      </c>
      <c r="N131" s="468">
        <v>337</v>
      </c>
      <c r="O131" s="538">
        <v>0</v>
      </c>
      <c r="P131" s="469">
        <f>O131*N131</f>
        <v>0</v>
      </c>
    </row>
    <row r="132" spans="1:16" s="47" customFormat="1" ht="63.6" customHeight="1" outlineLevel="1">
      <c r="A132" s="674"/>
      <c r="B132" s="704"/>
      <c r="C132" s="707"/>
      <c r="D132" s="679"/>
      <c r="E132" s="715"/>
      <c r="F132" s="721"/>
      <c r="G132" s="763"/>
      <c r="H132" s="726"/>
      <c r="I132" s="671"/>
      <c r="J132" s="764"/>
      <c r="K132" s="745"/>
      <c r="L132" s="554" t="s">
        <v>1078</v>
      </c>
      <c r="M132" s="618" t="s">
        <v>82</v>
      </c>
      <c r="N132" s="616">
        <v>299</v>
      </c>
      <c r="O132" s="544">
        <v>0</v>
      </c>
      <c r="P132" s="470">
        <f>O132*N132</f>
        <v>0</v>
      </c>
    </row>
    <row r="133" spans="1:16" s="47" customFormat="1" ht="60.95" customHeight="1" outlineLevel="1" thickBot="1">
      <c r="A133" s="730"/>
      <c r="B133" s="705"/>
      <c r="C133" s="708"/>
      <c r="D133" s="709"/>
      <c r="E133" s="716"/>
      <c r="F133" s="722"/>
      <c r="G133" s="742"/>
      <c r="H133" s="727"/>
      <c r="I133" s="734"/>
      <c r="J133" s="744"/>
      <c r="K133" s="745"/>
      <c r="L133" s="551" t="s">
        <v>1079</v>
      </c>
      <c r="M133" s="473" t="s">
        <v>139</v>
      </c>
      <c r="N133" s="620">
        <v>1</v>
      </c>
      <c r="O133" s="539">
        <v>0</v>
      </c>
      <c r="P133" s="472">
        <f t="shared" ref="P133" si="37">O133*N133</f>
        <v>0</v>
      </c>
    </row>
    <row r="134" spans="1:16" s="47" customFormat="1" ht="47.1" customHeight="1" outlineLevel="1">
      <c r="A134" s="181" t="s">
        <v>195</v>
      </c>
      <c r="B134" s="173" t="s">
        <v>196</v>
      </c>
      <c r="C134" s="176" t="s">
        <v>197</v>
      </c>
      <c r="D134" s="220" t="s">
        <v>63</v>
      </c>
      <c r="E134" s="436">
        <v>1</v>
      </c>
      <c r="F134" s="871">
        <v>0</v>
      </c>
      <c r="G134" s="871">
        <v>0</v>
      </c>
      <c r="H134" s="871">
        <v>0</v>
      </c>
      <c r="I134" s="606">
        <f t="shared" ref="I134" si="38">SUM(F134:H134)*E134</f>
        <v>0</v>
      </c>
      <c r="J134" s="491"/>
      <c r="K134" s="352"/>
    </row>
    <row r="135" spans="1:16" s="47" customFormat="1" ht="22.5" customHeight="1">
      <c r="A135" s="515" t="s">
        <v>198</v>
      </c>
      <c r="B135" s="642" t="s">
        <v>199</v>
      </c>
      <c r="C135" s="643"/>
      <c r="D135" s="644"/>
      <c r="E135" s="559"/>
      <c r="F135" s="569"/>
      <c r="G135" s="569"/>
      <c r="H135" s="569"/>
      <c r="I135" s="591">
        <f>SUM(I136:I171)</f>
        <v>0</v>
      </c>
      <c r="J135" s="491"/>
      <c r="K135" s="352"/>
    </row>
    <row r="136" spans="1:16" s="47" customFormat="1" ht="114" customHeight="1" outlineLevel="1">
      <c r="A136" s="181" t="s">
        <v>200</v>
      </c>
      <c r="B136" s="173" t="s">
        <v>201</v>
      </c>
      <c r="C136" s="176" t="s">
        <v>721</v>
      </c>
      <c r="D136" s="220" t="s">
        <v>85</v>
      </c>
      <c r="E136" s="436">
        <v>48</v>
      </c>
      <c r="F136" s="871">
        <v>0</v>
      </c>
      <c r="G136" s="871">
        <v>0</v>
      </c>
      <c r="H136" s="871">
        <v>0</v>
      </c>
      <c r="I136" s="606">
        <f>SUM(F136:H136)*E136</f>
        <v>0</v>
      </c>
      <c r="J136" s="491" t="s">
        <v>34</v>
      </c>
      <c r="K136" s="352"/>
    </row>
    <row r="137" spans="1:16" s="47" customFormat="1" ht="72.599999999999994" customHeight="1" outlineLevel="1">
      <c r="A137" s="181" t="s">
        <v>202</v>
      </c>
      <c r="B137" s="173" t="s">
        <v>203</v>
      </c>
      <c r="C137" s="182" t="s">
        <v>722</v>
      </c>
      <c r="D137" s="220" t="s">
        <v>33</v>
      </c>
      <c r="E137" s="436">
        <f>122+3</f>
        <v>125</v>
      </c>
      <c r="F137" s="871">
        <v>0</v>
      </c>
      <c r="G137" s="871">
        <v>0</v>
      </c>
      <c r="H137" s="871">
        <v>0</v>
      </c>
      <c r="I137" s="606">
        <f>SUM(F137:H137)*E137</f>
        <v>0</v>
      </c>
      <c r="J137" s="491" t="s">
        <v>34</v>
      </c>
      <c r="K137" s="352"/>
    </row>
    <row r="138" spans="1:16" s="47" customFormat="1" ht="68.45" customHeight="1" outlineLevel="1">
      <c r="A138" s="181" t="s">
        <v>204</v>
      </c>
      <c r="B138" s="173" t="s">
        <v>205</v>
      </c>
      <c r="C138" s="176" t="s">
        <v>797</v>
      </c>
      <c r="D138" s="220" t="s">
        <v>33</v>
      </c>
      <c r="E138" s="570">
        <f>39.6+53.2+69+37+37.8+3+26</f>
        <v>265.60000000000002</v>
      </c>
      <c r="F138" s="871">
        <v>0</v>
      </c>
      <c r="G138" s="871">
        <v>0</v>
      </c>
      <c r="H138" s="871">
        <v>0</v>
      </c>
      <c r="I138" s="606">
        <f t="shared" ref="I138:I152" si="39">SUM(F138:H138)*E138</f>
        <v>0</v>
      </c>
      <c r="J138" s="491" t="s">
        <v>34</v>
      </c>
      <c r="K138" s="352"/>
    </row>
    <row r="139" spans="1:16" s="47" customFormat="1" ht="84.75" customHeight="1" outlineLevel="1">
      <c r="A139" s="181" t="s">
        <v>206</v>
      </c>
      <c r="B139" s="173" t="s">
        <v>207</v>
      </c>
      <c r="C139" s="176" t="s">
        <v>724</v>
      </c>
      <c r="D139" s="220" t="s">
        <v>33</v>
      </c>
      <c r="E139" s="570">
        <f>13.5+59.5</f>
        <v>73</v>
      </c>
      <c r="F139" s="871">
        <v>0</v>
      </c>
      <c r="G139" s="871">
        <v>0</v>
      </c>
      <c r="H139" s="871">
        <v>0</v>
      </c>
      <c r="I139" s="606">
        <f t="shared" si="39"/>
        <v>0</v>
      </c>
      <c r="J139" s="491" t="s">
        <v>34</v>
      </c>
      <c r="K139" s="352"/>
    </row>
    <row r="140" spans="1:16" s="47" customFormat="1" ht="98.45" customHeight="1" outlineLevel="1">
      <c r="A140" s="181" t="s">
        <v>208</v>
      </c>
      <c r="B140" s="173" t="s">
        <v>723</v>
      </c>
      <c r="C140" s="176" t="s">
        <v>798</v>
      </c>
      <c r="D140" s="220" t="s">
        <v>33</v>
      </c>
      <c r="E140" s="570">
        <f>E138</f>
        <v>265.60000000000002</v>
      </c>
      <c r="F140" s="871">
        <v>0</v>
      </c>
      <c r="G140" s="871">
        <v>0</v>
      </c>
      <c r="H140" s="871">
        <v>0</v>
      </c>
      <c r="I140" s="606">
        <f t="shared" si="39"/>
        <v>0</v>
      </c>
      <c r="J140" s="491" t="s">
        <v>34</v>
      </c>
      <c r="K140" s="352"/>
    </row>
    <row r="141" spans="1:16" s="47" customFormat="1" ht="30.95" customHeight="1" outlineLevel="1">
      <c r="A141" s="181" t="s">
        <v>209</v>
      </c>
      <c r="B141" s="173" t="s">
        <v>210</v>
      </c>
      <c r="C141" s="176" t="s">
        <v>800</v>
      </c>
      <c r="D141" s="220" t="s">
        <v>33</v>
      </c>
      <c r="E141" s="570">
        <v>16</v>
      </c>
      <c r="F141" s="871">
        <v>0</v>
      </c>
      <c r="G141" s="871">
        <v>0</v>
      </c>
      <c r="H141" s="871">
        <v>0</v>
      </c>
      <c r="I141" s="606">
        <f t="shared" si="39"/>
        <v>0</v>
      </c>
      <c r="J141" s="491" t="s">
        <v>34</v>
      </c>
      <c r="K141" s="352"/>
    </row>
    <row r="142" spans="1:16" s="47" customFormat="1" ht="33" customHeight="1" outlineLevel="1">
      <c r="A142" s="181" t="s">
        <v>211</v>
      </c>
      <c r="B142" s="173" t="s">
        <v>213</v>
      </c>
      <c r="C142" s="176" t="s">
        <v>799</v>
      </c>
      <c r="D142" s="220" t="s">
        <v>33</v>
      </c>
      <c r="E142" s="436">
        <f>11</f>
        <v>11</v>
      </c>
      <c r="F142" s="871">
        <v>0</v>
      </c>
      <c r="G142" s="871">
        <v>0</v>
      </c>
      <c r="H142" s="871">
        <v>0</v>
      </c>
      <c r="I142" s="606">
        <f t="shared" si="39"/>
        <v>0</v>
      </c>
      <c r="J142" s="491" t="s">
        <v>34</v>
      </c>
      <c r="K142" s="352"/>
    </row>
    <row r="143" spans="1:16" s="47" customFormat="1" ht="32.25" customHeight="1" outlineLevel="1">
      <c r="A143" s="181" t="s">
        <v>212</v>
      </c>
      <c r="B143" s="173" t="s">
        <v>213</v>
      </c>
      <c r="C143" s="176" t="s">
        <v>801</v>
      </c>
      <c r="D143" s="220" t="s">
        <v>33</v>
      </c>
      <c r="E143" s="436">
        <v>86</v>
      </c>
      <c r="F143" s="871">
        <v>0</v>
      </c>
      <c r="G143" s="871">
        <v>0</v>
      </c>
      <c r="H143" s="871">
        <v>0</v>
      </c>
      <c r="I143" s="606">
        <f t="shared" si="39"/>
        <v>0</v>
      </c>
      <c r="J143" s="491" t="s">
        <v>34</v>
      </c>
      <c r="K143" s="352"/>
    </row>
    <row r="144" spans="1:16" s="47" customFormat="1" ht="57.95" customHeight="1" outlineLevel="1">
      <c r="A144" s="181" t="s">
        <v>214</v>
      </c>
      <c r="B144" s="173" t="s">
        <v>216</v>
      </c>
      <c r="C144" s="176" t="s">
        <v>802</v>
      </c>
      <c r="D144" s="220" t="s">
        <v>33</v>
      </c>
      <c r="E144" s="436">
        <v>102</v>
      </c>
      <c r="F144" s="871">
        <v>0</v>
      </c>
      <c r="G144" s="871">
        <v>0</v>
      </c>
      <c r="H144" s="871">
        <v>0</v>
      </c>
      <c r="I144" s="606">
        <f t="shared" si="39"/>
        <v>0</v>
      </c>
      <c r="J144" s="491" t="s">
        <v>34</v>
      </c>
      <c r="K144" s="352"/>
    </row>
    <row r="145" spans="1:16" s="47" customFormat="1" ht="29.1" customHeight="1" outlineLevel="1">
      <c r="A145" s="181" t="s">
        <v>215</v>
      </c>
      <c r="B145" s="173" t="s">
        <v>803</v>
      </c>
      <c r="C145" s="176" t="s">
        <v>218</v>
      </c>
      <c r="D145" s="220" t="s">
        <v>85</v>
      </c>
      <c r="E145" s="436">
        <v>24</v>
      </c>
      <c r="F145" s="871">
        <v>0</v>
      </c>
      <c r="G145" s="871">
        <v>0</v>
      </c>
      <c r="H145" s="871">
        <v>0</v>
      </c>
      <c r="I145" s="606">
        <f t="shared" si="39"/>
        <v>0</v>
      </c>
      <c r="J145" s="491" t="s">
        <v>34</v>
      </c>
      <c r="K145" s="352"/>
    </row>
    <row r="146" spans="1:16" s="47" customFormat="1" ht="42.6" customHeight="1" outlineLevel="1">
      <c r="A146" s="181" t="s">
        <v>217</v>
      </c>
      <c r="B146" s="173" t="s">
        <v>220</v>
      </c>
      <c r="C146" s="176" t="s">
        <v>804</v>
      </c>
      <c r="D146" s="220" t="s">
        <v>85</v>
      </c>
      <c r="E146" s="436">
        <f>126+33*3</f>
        <v>225</v>
      </c>
      <c r="F146" s="871">
        <v>0</v>
      </c>
      <c r="G146" s="871">
        <v>0</v>
      </c>
      <c r="H146" s="871">
        <v>0</v>
      </c>
      <c r="I146" s="606">
        <f t="shared" si="39"/>
        <v>0</v>
      </c>
      <c r="J146" s="491" t="s">
        <v>34</v>
      </c>
      <c r="K146" s="352"/>
    </row>
    <row r="147" spans="1:16" s="47" customFormat="1" ht="39.950000000000003" customHeight="1" outlineLevel="1">
      <c r="A147" s="181" t="s">
        <v>219</v>
      </c>
      <c r="B147" s="173" t="s">
        <v>222</v>
      </c>
      <c r="C147" s="176" t="s">
        <v>223</v>
      </c>
      <c r="D147" s="220" t="s">
        <v>33</v>
      </c>
      <c r="E147" s="570">
        <f>5.6</f>
        <v>5.6</v>
      </c>
      <c r="F147" s="871">
        <v>0</v>
      </c>
      <c r="G147" s="871">
        <v>0</v>
      </c>
      <c r="H147" s="871">
        <v>0</v>
      </c>
      <c r="I147" s="606">
        <f t="shared" si="39"/>
        <v>0</v>
      </c>
      <c r="J147" s="491" t="s">
        <v>34</v>
      </c>
      <c r="K147" s="352"/>
    </row>
    <row r="148" spans="1:16" s="47" customFormat="1" ht="54.95" customHeight="1" outlineLevel="1">
      <c r="A148" s="181" t="s">
        <v>221</v>
      </c>
      <c r="B148" s="173" t="s">
        <v>225</v>
      </c>
      <c r="C148" s="176" t="s">
        <v>226</v>
      </c>
      <c r="D148" s="220" t="s">
        <v>33</v>
      </c>
      <c r="E148" s="570">
        <v>49</v>
      </c>
      <c r="F148" s="871">
        <v>0</v>
      </c>
      <c r="G148" s="871">
        <v>0</v>
      </c>
      <c r="H148" s="871">
        <v>0</v>
      </c>
      <c r="I148" s="606">
        <f t="shared" si="39"/>
        <v>0</v>
      </c>
      <c r="J148" s="491" t="s">
        <v>34</v>
      </c>
      <c r="K148" s="352"/>
    </row>
    <row r="149" spans="1:16" s="47" customFormat="1" ht="62.1" customHeight="1" outlineLevel="1">
      <c r="A149" s="181" t="s">
        <v>224</v>
      </c>
      <c r="B149" s="173" t="s">
        <v>225</v>
      </c>
      <c r="C149" s="176" t="s">
        <v>228</v>
      </c>
      <c r="D149" s="220" t="s">
        <v>33</v>
      </c>
      <c r="E149" s="570">
        <f>5.6+16.8+9.9</f>
        <v>32.299999999999997</v>
      </c>
      <c r="F149" s="871">
        <v>0</v>
      </c>
      <c r="G149" s="871">
        <v>0</v>
      </c>
      <c r="H149" s="871">
        <v>0</v>
      </c>
      <c r="I149" s="606">
        <f t="shared" si="39"/>
        <v>0</v>
      </c>
      <c r="J149" s="491" t="s">
        <v>34</v>
      </c>
      <c r="K149" s="352"/>
    </row>
    <row r="150" spans="1:16" s="47" customFormat="1" ht="59.45" customHeight="1" outlineLevel="1">
      <c r="A150" s="181" t="s">
        <v>227</v>
      </c>
      <c r="B150" s="173" t="s">
        <v>225</v>
      </c>
      <c r="C150" s="176" t="s">
        <v>230</v>
      </c>
      <c r="D150" s="220" t="s">
        <v>33</v>
      </c>
      <c r="E150" s="570">
        <f>E149</f>
        <v>32.299999999999997</v>
      </c>
      <c r="F150" s="871">
        <v>0</v>
      </c>
      <c r="G150" s="871">
        <v>0</v>
      </c>
      <c r="H150" s="871">
        <v>0</v>
      </c>
      <c r="I150" s="606">
        <f t="shared" si="39"/>
        <v>0</v>
      </c>
      <c r="J150" s="491" t="s">
        <v>34</v>
      </c>
      <c r="K150" s="352"/>
    </row>
    <row r="151" spans="1:16" s="47" customFormat="1" ht="57" customHeight="1" outlineLevel="1">
      <c r="A151" s="181" t="s">
        <v>229</v>
      </c>
      <c r="B151" s="173" t="s">
        <v>225</v>
      </c>
      <c r="C151" s="176" t="s">
        <v>232</v>
      </c>
      <c r="D151" s="220" t="s">
        <v>33</v>
      </c>
      <c r="E151" s="436">
        <f>37</f>
        <v>37</v>
      </c>
      <c r="F151" s="871">
        <v>0</v>
      </c>
      <c r="G151" s="871">
        <v>0</v>
      </c>
      <c r="H151" s="871">
        <v>0</v>
      </c>
      <c r="I151" s="606">
        <f t="shared" si="39"/>
        <v>0</v>
      </c>
      <c r="J151" s="491" t="s">
        <v>34</v>
      </c>
      <c r="K151" s="352"/>
    </row>
    <row r="152" spans="1:16" s="47" customFormat="1" ht="79.7" customHeight="1" outlineLevel="1">
      <c r="A152" s="181" t="s">
        <v>231</v>
      </c>
      <c r="B152" s="173" t="s">
        <v>234</v>
      </c>
      <c r="C152" s="176" t="s">
        <v>805</v>
      </c>
      <c r="D152" s="220" t="s">
        <v>85</v>
      </c>
      <c r="E152" s="436">
        <f>12+33+10</f>
        <v>55</v>
      </c>
      <c r="F152" s="871">
        <v>0</v>
      </c>
      <c r="G152" s="871">
        <v>0</v>
      </c>
      <c r="H152" s="871">
        <v>0</v>
      </c>
      <c r="I152" s="606">
        <f t="shared" si="39"/>
        <v>0</v>
      </c>
      <c r="J152" s="491" t="s">
        <v>34</v>
      </c>
      <c r="K152" s="352"/>
    </row>
    <row r="153" spans="1:16" s="47" customFormat="1" ht="51.6" customHeight="1" outlineLevel="1">
      <c r="A153" s="181" t="s">
        <v>233</v>
      </c>
      <c r="B153" s="173" t="s">
        <v>236</v>
      </c>
      <c r="C153" s="176" t="s">
        <v>237</v>
      </c>
      <c r="D153" s="220" t="s">
        <v>63</v>
      </c>
      <c r="E153" s="436">
        <v>1</v>
      </c>
      <c r="F153" s="871">
        <v>0</v>
      </c>
      <c r="G153" s="871">
        <v>0</v>
      </c>
      <c r="H153" s="871">
        <v>0</v>
      </c>
      <c r="I153" s="606">
        <f t="shared" ref="I153" si="40">SUM(F153:H153)*E153</f>
        <v>0</v>
      </c>
      <c r="J153" s="491" t="s">
        <v>34</v>
      </c>
      <c r="K153" s="352"/>
    </row>
    <row r="154" spans="1:16" s="47" customFormat="1" ht="55.35" customHeight="1" outlineLevel="1">
      <c r="A154" s="181" t="s">
        <v>235</v>
      </c>
      <c r="B154" s="173" t="s">
        <v>239</v>
      </c>
      <c r="C154" s="176" t="s">
        <v>807</v>
      </c>
      <c r="D154" s="220" t="s">
        <v>63</v>
      </c>
      <c r="E154" s="436">
        <v>2</v>
      </c>
      <c r="F154" s="871">
        <v>0</v>
      </c>
      <c r="G154" s="871">
        <v>0</v>
      </c>
      <c r="H154" s="871">
        <v>0</v>
      </c>
      <c r="I154" s="606">
        <f t="shared" ref="I154" si="41">SUM(F154:H154)*E154</f>
        <v>0</v>
      </c>
      <c r="J154" s="491" t="s">
        <v>34</v>
      </c>
      <c r="K154" s="352"/>
    </row>
    <row r="155" spans="1:16" s="47" customFormat="1" ht="71.45" customHeight="1" outlineLevel="1">
      <c r="A155" s="181" t="s">
        <v>238</v>
      </c>
      <c r="B155" s="173" t="s">
        <v>241</v>
      </c>
      <c r="C155" s="176" t="s">
        <v>806</v>
      </c>
      <c r="D155" s="220" t="s">
        <v>85</v>
      </c>
      <c r="E155" s="436">
        <f>23+7</f>
        <v>30</v>
      </c>
      <c r="F155" s="871">
        <v>0</v>
      </c>
      <c r="G155" s="871">
        <v>0</v>
      </c>
      <c r="H155" s="871">
        <v>0</v>
      </c>
      <c r="I155" s="606">
        <f t="shared" ref="I155" si="42">SUM(F155:H155)*E155</f>
        <v>0</v>
      </c>
      <c r="J155" s="491" t="s">
        <v>34</v>
      </c>
      <c r="K155" s="352"/>
    </row>
    <row r="156" spans="1:16" s="47" customFormat="1" ht="29.45" customHeight="1" outlineLevel="1">
      <c r="A156" s="181" t="s">
        <v>240</v>
      </c>
      <c r="B156" s="173" t="s">
        <v>243</v>
      </c>
      <c r="C156" s="176" t="s">
        <v>244</v>
      </c>
      <c r="D156" s="220" t="s">
        <v>63</v>
      </c>
      <c r="E156" s="436">
        <v>1</v>
      </c>
      <c r="F156" s="871">
        <v>0</v>
      </c>
      <c r="G156" s="871">
        <v>0</v>
      </c>
      <c r="H156" s="871">
        <v>0</v>
      </c>
      <c r="I156" s="606">
        <f t="shared" ref="I156" si="43">SUM(F156:H156)*E156</f>
        <v>0</v>
      </c>
      <c r="J156" s="491" t="s">
        <v>34</v>
      </c>
      <c r="K156" s="352"/>
    </row>
    <row r="157" spans="1:16" s="47" customFormat="1" ht="94.5" customHeight="1" outlineLevel="1">
      <c r="A157" s="181" t="s">
        <v>242</v>
      </c>
      <c r="B157" s="173" t="s">
        <v>809</v>
      </c>
      <c r="C157" s="176" t="s">
        <v>808</v>
      </c>
      <c r="D157" s="220" t="s">
        <v>85</v>
      </c>
      <c r="E157" s="436">
        <f>40+26+10</f>
        <v>76</v>
      </c>
      <c r="F157" s="871">
        <v>0</v>
      </c>
      <c r="G157" s="871">
        <v>0</v>
      </c>
      <c r="H157" s="871">
        <v>0</v>
      </c>
      <c r="I157" s="606">
        <f t="shared" ref="I157:I158" si="44">SUM(F157:H157)*E157</f>
        <v>0</v>
      </c>
      <c r="J157" s="491" t="s">
        <v>34</v>
      </c>
      <c r="K157" s="352"/>
    </row>
    <row r="158" spans="1:16" s="47" customFormat="1" ht="132.94999999999999" customHeight="1" outlineLevel="1" thickBot="1">
      <c r="A158" s="181" t="s">
        <v>245</v>
      </c>
      <c r="B158" s="173" t="s">
        <v>810</v>
      </c>
      <c r="C158" s="176" t="s">
        <v>811</v>
      </c>
      <c r="D158" s="220" t="s">
        <v>63</v>
      </c>
      <c r="E158" s="436">
        <f>41</f>
        <v>41</v>
      </c>
      <c r="F158" s="871">
        <v>0</v>
      </c>
      <c r="G158" s="592"/>
      <c r="H158" s="871">
        <v>0</v>
      </c>
      <c r="I158" s="606">
        <f t="shared" si="44"/>
        <v>0</v>
      </c>
      <c r="J158" s="491" t="s">
        <v>34</v>
      </c>
      <c r="K158" s="352"/>
    </row>
    <row r="159" spans="1:16" s="47" customFormat="1" ht="65.45" customHeight="1" outlineLevel="1">
      <c r="A159" s="673" t="s">
        <v>246</v>
      </c>
      <c r="B159" s="731" t="s">
        <v>248</v>
      </c>
      <c r="C159" s="732" t="s">
        <v>812</v>
      </c>
      <c r="D159" s="713" t="s">
        <v>85</v>
      </c>
      <c r="E159" s="755">
        <f>1550+300</f>
        <v>1850</v>
      </c>
      <c r="F159" s="903">
        <v>0</v>
      </c>
      <c r="G159" s="758">
        <f>SUM(P159:P161)/E159</f>
        <v>0</v>
      </c>
      <c r="H159" s="903">
        <v>0</v>
      </c>
      <c r="I159" s="759">
        <f>SUM(F159:H159)*E159</f>
        <v>0</v>
      </c>
      <c r="J159" s="761" t="s">
        <v>34</v>
      </c>
      <c r="K159" s="745"/>
      <c r="L159" s="549" t="s">
        <v>1083</v>
      </c>
      <c r="M159" s="467" t="s">
        <v>85</v>
      </c>
      <c r="N159" s="468">
        <v>1850</v>
      </c>
      <c r="O159" s="538">
        <v>0</v>
      </c>
      <c r="P159" s="469">
        <f>O159*N159</f>
        <v>0</v>
      </c>
    </row>
    <row r="160" spans="1:16" s="47" customFormat="1" ht="46.5" customHeight="1" outlineLevel="1">
      <c r="A160" s="674"/>
      <c r="B160" s="704"/>
      <c r="C160" s="707"/>
      <c r="D160" s="679"/>
      <c r="E160" s="798"/>
      <c r="F160" s="904"/>
      <c r="G160" s="799"/>
      <c r="H160" s="904"/>
      <c r="I160" s="801"/>
      <c r="J160" s="761"/>
      <c r="K160" s="745"/>
      <c r="L160" s="554" t="s">
        <v>1084</v>
      </c>
      <c r="M160" s="545" t="s">
        <v>139</v>
      </c>
      <c r="N160" s="616">
        <v>1</v>
      </c>
      <c r="O160" s="544">
        <v>0</v>
      </c>
      <c r="P160" s="470">
        <f>O160*N160</f>
        <v>0</v>
      </c>
    </row>
    <row r="161" spans="1:16" s="47" customFormat="1" ht="42.95" customHeight="1" outlineLevel="1" thickBot="1">
      <c r="A161" s="730"/>
      <c r="B161" s="705"/>
      <c r="C161" s="708"/>
      <c r="D161" s="709"/>
      <c r="E161" s="756"/>
      <c r="F161" s="905"/>
      <c r="G161" s="800"/>
      <c r="H161" s="905"/>
      <c r="I161" s="760"/>
      <c r="J161" s="761"/>
      <c r="K161" s="745"/>
      <c r="L161" s="551" t="s">
        <v>1085</v>
      </c>
      <c r="M161" s="473" t="s">
        <v>85</v>
      </c>
      <c r="N161" s="620">
        <v>1080</v>
      </c>
      <c r="O161" s="539">
        <v>0</v>
      </c>
      <c r="P161" s="472">
        <f t="shared" ref="P161" si="45">O161*N161</f>
        <v>0</v>
      </c>
    </row>
    <row r="162" spans="1:16" s="47" customFormat="1" ht="69.95" customHeight="1" outlineLevel="1">
      <c r="A162" s="673" t="s">
        <v>247</v>
      </c>
      <c r="B162" s="753" t="s">
        <v>1072</v>
      </c>
      <c r="C162" s="753" t="s">
        <v>1080</v>
      </c>
      <c r="D162" s="755" t="s">
        <v>250</v>
      </c>
      <c r="E162" s="664">
        <v>1</v>
      </c>
      <c r="F162" s="903">
        <v>0</v>
      </c>
      <c r="G162" s="758">
        <f>SUM(P162:P163)</f>
        <v>0</v>
      </c>
      <c r="H162" s="903">
        <v>0</v>
      </c>
      <c r="I162" s="759">
        <f t="shared" ref="I162:I171" si="46">SUM(F162:H162)*E162</f>
        <v>0</v>
      </c>
      <c r="J162" s="761" t="s">
        <v>34</v>
      </c>
      <c r="K162" s="745"/>
      <c r="L162" s="549" t="s">
        <v>1081</v>
      </c>
      <c r="M162" s="467" t="s">
        <v>139</v>
      </c>
      <c r="N162" s="468">
        <v>1</v>
      </c>
      <c r="O162" s="538">
        <v>0</v>
      </c>
      <c r="P162" s="469">
        <f>O162*N162</f>
        <v>0</v>
      </c>
    </row>
    <row r="163" spans="1:16" s="47" customFormat="1" ht="62.45" customHeight="1" outlineLevel="1" thickBot="1">
      <c r="A163" s="730"/>
      <c r="B163" s="754"/>
      <c r="C163" s="754"/>
      <c r="D163" s="756"/>
      <c r="E163" s="757"/>
      <c r="F163" s="905"/>
      <c r="G163" s="702"/>
      <c r="H163" s="905"/>
      <c r="I163" s="760"/>
      <c r="J163" s="761"/>
      <c r="K163" s="745"/>
      <c r="L163" s="551" t="s">
        <v>1082</v>
      </c>
      <c r="M163" s="473" t="s">
        <v>63</v>
      </c>
      <c r="N163" s="620">
        <v>1</v>
      </c>
      <c r="O163" s="539">
        <v>0</v>
      </c>
      <c r="P163" s="472">
        <f t="shared" ref="P163" si="47">O163*N163</f>
        <v>0</v>
      </c>
    </row>
    <row r="164" spans="1:16" s="47" customFormat="1" ht="56.45" customHeight="1" outlineLevel="1">
      <c r="A164" s="181" t="s">
        <v>249</v>
      </c>
      <c r="B164" s="425" t="s">
        <v>985</v>
      </c>
      <c r="C164" s="425" t="s">
        <v>986</v>
      </c>
      <c r="D164" s="426" t="s">
        <v>63</v>
      </c>
      <c r="E164" s="571">
        <v>1</v>
      </c>
      <c r="F164" s="893">
        <v>0</v>
      </c>
      <c r="G164" s="893">
        <v>0</v>
      </c>
      <c r="H164" s="893">
        <v>0</v>
      </c>
      <c r="I164" s="606">
        <f t="shared" ref="I164" si="48">SUM(F164:H164)*E164</f>
        <v>0</v>
      </c>
      <c r="J164" s="540" t="s">
        <v>34</v>
      </c>
      <c r="K164" s="352"/>
    </row>
    <row r="165" spans="1:16" s="47" customFormat="1" ht="38.450000000000003" customHeight="1" outlineLevel="1">
      <c r="A165" s="181" t="s">
        <v>251</v>
      </c>
      <c r="B165" s="173" t="s">
        <v>252</v>
      </c>
      <c r="C165" s="176" t="s">
        <v>253</v>
      </c>
      <c r="D165" s="220" t="s">
        <v>63</v>
      </c>
      <c r="E165" s="436">
        <v>1</v>
      </c>
      <c r="F165" s="893">
        <v>0</v>
      </c>
      <c r="G165" s="603"/>
      <c r="H165" s="603"/>
      <c r="I165" s="606">
        <f t="shared" si="46"/>
        <v>0</v>
      </c>
      <c r="J165" s="491" t="s">
        <v>34</v>
      </c>
      <c r="K165" s="352"/>
    </row>
    <row r="166" spans="1:16" s="47" customFormat="1" ht="128.1" customHeight="1" outlineLevel="1">
      <c r="A166" s="181" t="s">
        <v>254</v>
      </c>
      <c r="B166" s="173" t="s">
        <v>255</v>
      </c>
      <c r="C166" s="176" t="s">
        <v>893</v>
      </c>
      <c r="D166" s="220" t="s">
        <v>63</v>
      </c>
      <c r="E166" s="436">
        <v>75</v>
      </c>
      <c r="F166" s="871">
        <v>0</v>
      </c>
      <c r="G166" s="603"/>
      <c r="H166" s="513">
        <v>0</v>
      </c>
      <c r="I166" s="606">
        <f t="shared" si="46"/>
        <v>0</v>
      </c>
      <c r="J166" s="491" t="s">
        <v>34</v>
      </c>
      <c r="K166" s="352"/>
    </row>
    <row r="167" spans="1:16" s="47" customFormat="1" ht="71.099999999999994" customHeight="1" outlineLevel="1">
      <c r="A167" s="181" t="s">
        <v>256</v>
      </c>
      <c r="B167" s="173" t="s">
        <v>257</v>
      </c>
      <c r="C167" s="176" t="s">
        <v>813</v>
      </c>
      <c r="D167" s="220" t="s">
        <v>33</v>
      </c>
      <c r="E167" s="570">
        <v>1.8</v>
      </c>
      <c r="F167" s="871">
        <v>0</v>
      </c>
      <c r="G167" s="871">
        <v>0</v>
      </c>
      <c r="H167" s="871">
        <v>0</v>
      </c>
      <c r="I167" s="606">
        <f t="shared" si="46"/>
        <v>0</v>
      </c>
      <c r="J167" s="491" t="s">
        <v>34</v>
      </c>
      <c r="K167" s="352"/>
    </row>
    <row r="168" spans="1:16" s="47" customFormat="1" ht="69" customHeight="1" outlineLevel="1">
      <c r="A168" s="181" t="s">
        <v>258</v>
      </c>
      <c r="B168" s="173" t="s">
        <v>259</v>
      </c>
      <c r="C168" s="176" t="s">
        <v>260</v>
      </c>
      <c r="D168" s="220" t="s">
        <v>29</v>
      </c>
      <c r="E168" s="436">
        <v>7</v>
      </c>
      <c r="F168" s="871">
        <v>0</v>
      </c>
      <c r="G168" s="871">
        <v>0</v>
      </c>
      <c r="H168" s="871">
        <v>0</v>
      </c>
      <c r="I168" s="606">
        <f t="shared" si="46"/>
        <v>0</v>
      </c>
      <c r="J168" s="491" t="s">
        <v>34</v>
      </c>
      <c r="K168" s="352"/>
    </row>
    <row r="169" spans="1:16" s="47" customFormat="1" ht="29.25" customHeight="1" outlineLevel="1">
      <c r="A169" s="181" t="s">
        <v>261</v>
      </c>
      <c r="B169" s="173" t="s">
        <v>262</v>
      </c>
      <c r="C169" s="176" t="s">
        <v>263</v>
      </c>
      <c r="D169" s="220" t="s">
        <v>29</v>
      </c>
      <c r="E169" s="436">
        <v>1</v>
      </c>
      <c r="F169" s="871">
        <v>0</v>
      </c>
      <c r="G169" s="893">
        <v>0</v>
      </c>
      <c r="H169" s="871">
        <v>0</v>
      </c>
      <c r="I169" s="606">
        <f t="shared" si="46"/>
        <v>0</v>
      </c>
      <c r="J169" s="491" t="s">
        <v>34</v>
      </c>
      <c r="K169" s="352"/>
    </row>
    <row r="170" spans="1:16" s="47" customFormat="1" ht="29.25" customHeight="1" outlineLevel="1">
      <c r="A170" s="181" t="s">
        <v>264</v>
      </c>
      <c r="B170" s="173" t="s">
        <v>265</v>
      </c>
      <c r="C170" s="176" t="s">
        <v>266</v>
      </c>
      <c r="D170" s="220" t="s">
        <v>63</v>
      </c>
      <c r="E170" s="436">
        <v>2</v>
      </c>
      <c r="F170" s="871">
        <v>0</v>
      </c>
      <c r="G170" s="871">
        <v>0</v>
      </c>
      <c r="H170" s="871">
        <v>0</v>
      </c>
      <c r="I170" s="606">
        <f t="shared" si="46"/>
        <v>0</v>
      </c>
      <c r="J170" s="491" t="s">
        <v>34</v>
      </c>
      <c r="K170" s="352"/>
    </row>
    <row r="171" spans="1:16" s="47" customFormat="1" ht="54.6" customHeight="1" outlineLevel="1">
      <c r="A171" s="181" t="s">
        <v>267</v>
      </c>
      <c r="B171" s="173" t="s">
        <v>268</v>
      </c>
      <c r="C171" s="176" t="s">
        <v>263</v>
      </c>
      <c r="D171" s="220" t="s">
        <v>250</v>
      </c>
      <c r="E171" s="436">
        <v>1</v>
      </c>
      <c r="F171" s="871">
        <v>0</v>
      </c>
      <c r="G171" s="871">
        <v>0</v>
      </c>
      <c r="H171" s="871">
        <v>0</v>
      </c>
      <c r="I171" s="606">
        <f t="shared" si="46"/>
        <v>0</v>
      </c>
      <c r="J171" s="491" t="s">
        <v>34</v>
      </c>
      <c r="K171" s="352"/>
    </row>
    <row r="172" spans="1:16" s="47" customFormat="1" ht="25.35" customHeight="1">
      <c r="A172" s="515" t="s">
        <v>269</v>
      </c>
      <c r="B172" s="642" t="s">
        <v>270</v>
      </c>
      <c r="C172" s="643"/>
      <c r="D172" s="644"/>
      <c r="E172" s="559"/>
      <c r="F172" s="569"/>
      <c r="G172" s="569"/>
      <c r="H172" s="569"/>
      <c r="I172" s="591">
        <f>SUM(I173:I175)</f>
        <v>474287.95511400001</v>
      </c>
      <c r="J172" s="491"/>
      <c r="K172" s="352"/>
    </row>
    <row r="173" spans="1:16" s="47" customFormat="1" ht="65.45" customHeight="1" outlineLevel="1">
      <c r="A173" s="181" t="s">
        <v>271</v>
      </c>
      <c r="B173" s="173" t="s">
        <v>272</v>
      </c>
      <c r="C173" s="176" t="s">
        <v>273</v>
      </c>
      <c r="D173" s="220" t="s">
        <v>85</v>
      </c>
      <c r="E173" s="436">
        <v>150</v>
      </c>
      <c r="F173" s="871">
        <v>0</v>
      </c>
      <c r="G173" s="871">
        <v>0</v>
      </c>
      <c r="H173" s="871">
        <v>0</v>
      </c>
      <c r="I173" s="590">
        <f>SUM(F173:H173)*E173</f>
        <v>0</v>
      </c>
      <c r="J173" s="491" t="s">
        <v>34</v>
      </c>
      <c r="K173" s="352"/>
    </row>
    <row r="174" spans="1:16" s="47" customFormat="1" ht="184.5" customHeight="1" outlineLevel="1">
      <c r="A174" s="181" t="s">
        <v>274</v>
      </c>
      <c r="B174" s="173" t="s">
        <v>275</v>
      </c>
      <c r="C174" s="176" t="s">
        <v>840</v>
      </c>
      <c r="D174" s="220" t="s">
        <v>52</v>
      </c>
      <c r="E174" s="436">
        <v>500</v>
      </c>
      <c r="F174" s="621">
        <f>ВЕНТИЛЯЦІЯ!G59*0.15/E174</f>
        <v>126.73729263420002</v>
      </c>
      <c r="G174" s="621">
        <f>ВЕНТИЛЯЦІЯ!G59*0.82/E174</f>
        <v>692.83053306696002</v>
      </c>
      <c r="H174" s="621">
        <f>ВЕНТИЛЯЦІЯ!G59*0.03/E174</f>
        <v>25.347458526840001</v>
      </c>
      <c r="I174" s="590">
        <f>SUM(F174:H174)*E174</f>
        <v>422457.64211399999</v>
      </c>
      <c r="J174" s="622" t="s">
        <v>1126</v>
      </c>
      <c r="K174" s="352" t="s">
        <v>276</v>
      </c>
    </row>
    <row r="175" spans="1:16" s="47" customFormat="1" ht="114.95" customHeight="1" outlineLevel="1">
      <c r="A175" s="181" t="s">
        <v>277</v>
      </c>
      <c r="B175" s="173" t="s">
        <v>278</v>
      </c>
      <c r="C175" s="176" t="s">
        <v>877</v>
      </c>
      <c r="D175" s="220" t="s">
        <v>29</v>
      </c>
      <c r="E175" s="436">
        <v>2</v>
      </c>
      <c r="F175" s="621">
        <f>зонти!G16/2+(SUM(зонти!E14,зонти!E7:E12,зонти!E5))+зонти!E6*зонти!D6/2</f>
        <v>5649.1</v>
      </c>
      <c r="G175" s="621">
        <f>зонти!G22/2-F175-H175</f>
        <v>17574.670399999999</v>
      </c>
      <c r="H175" s="621">
        <f>(зонти!G19+зонти!G21)/2</f>
        <v>2691.3861000000006</v>
      </c>
      <c r="I175" s="569">
        <f>SUM(F175:H175)*E175</f>
        <v>51830.313000000002</v>
      </c>
      <c r="J175" s="622" t="s">
        <v>1126</v>
      </c>
      <c r="K175" s="352" t="s">
        <v>276</v>
      </c>
    </row>
    <row r="176" spans="1:16" s="47" customFormat="1" ht="23.45" customHeight="1">
      <c r="A176" s="515" t="s">
        <v>279</v>
      </c>
      <c r="B176" s="642" t="s">
        <v>280</v>
      </c>
      <c r="C176" s="643"/>
      <c r="D176" s="644"/>
      <c r="E176" s="559"/>
      <c r="F176" s="569"/>
      <c r="G176" s="569"/>
      <c r="H176" s="569"/>
      <c r="I176" s="591">
        <f>SUM(I177:I177)</f>
        <v>0</v>
      </c>
      <c r="J176" s="491"/>
      <c r="K176" s="352"/>
    </row>
    <row r="177" spans="1:16" s="47" customFormat="1" ht="93.75" customHeight="1" outlineLevel="1">
      <c r="A177" s="181" t="s">
        <v>281</v>
      </c>
      <c r="B177" s="173" t="s">
        <v>282</v>
      </c>
      <c r="C177" s="178" t="s">
        <v>283</v>
      </c>
      <c r="D177" s="220" t="s">
        <v>85</v>
      </c>
      <c r="E177" s="436">
        <v>400</v>
      </c>
      <c r="F177" s="896">
        <v>0</v>
      </c>
      <c r="G177" s="871">
        <v>0</v>
      </c>
      <c r="H177" s="871">
        <v>0</v>
      </c>
      <c r="I177" s="590">
        <f t="shared" ref="I177" si="49">SUM(F177:H177)*E177</f>
        <v>0</v>
      </c>
      <c r="J177" s="491" t="s">
        <v>34</v>
      </c>
      <c r="K177" s="352"/>
    </row>
    <row r="178" spans="1:16" s="456" customFormat="1" ht="30.6" customHeight="1">
      <c r="A178" s="517" t="s">
        <v>1046</v>
      </c>
      <c r="B178" s="648" t="s">
        <v>1041</v>
      </c>
      <c r="C178" s="649"/>
      <c r="D178" s="650"/>
      <c r="E178" s="572"/>
      <c r="F178" s="607"/>
      <c r="G178" s="607"/>
      <c r="H178" s="607"/>
      <c r="I178" s="608">
        <f>SUM(I179:I186)</f>
        <v>0</v>
      </c>
      <c r="J178" s="496"/>
      <c r="K178" s="457"/>
    </row>
    <row r="179" spans="1:16" s="164" customFormat="1" ht="78" customHeight="1" outlineLevel="1">
      <c r="A179" s="458" t="s">
        <v>1047</v>
      </c>
      <c r="B179" s="459" t="s">
        <v>1042</v>
      </c>
      <c r="C179" s="460" t="s">
        <v>1043</v>
      </c>
      <c r="D179" s="461" t="s">
        <v>81</v>
      </c>
      <c r="E179" s="573">
        <v>6.4</v>
      </c>
      <c r="F179" s="896">
        <v>0</v>
      </c>
      <c r="G179" s="609"/>
      <c r="H179" s="896">
        <v>0</v>
      </c>
      <c r="I179" s="610">
        <f>SUM(F179:H179)*E179</f>
        <v>0</v>
      </c>
      <c r="J179" s="497" t="s">
        <v>34</v>
      </c>
      <c r="K179" s="459"/>
    </row>
    <row r="180" spans="1:16" s="164" customFormat="1" ht="58.5" customHeight="1" outlineLevel="1" thickBot="1">
      <c r="A180" s="458" t="s">
        <v>1048</v>
      </c>
      <c r="B180" s="459" t="s">
        <v>1044</v>
      </c>
      <c r="C180" s="462" t="s">
        <v>1045</v>
      </c>
      <c r="D180" s="463" t="s">
        <v>81</v>
      </c>
      <c r="E180" s="573">
        <f>6.4</f>
        <v>6.4</v>
      </c>
      <c r="F180" s="896">
        <v>0</v>
      </c>
      <c r="G180" s="896">
        <v>0</v>
      </c>
      <c r="H180" s="896">
        <v>0</v>
      </c>
      <c r="I180" s="611">
        <f>SUM(F180:H180)*E180</f>
        <v>0</v>
      </c>
      <c r="J180" s="497" t="s">
        <v>34</v>
      </c>
      <c r="K180" s="459"/>
    </row>
    <row r="181" spans="1:16" s="165" customFormat="1" ht="22.5" customHeight="1" outlineLevel="1">
      <c r="A181" s="773" t="s">
        <v>1049</v>
      </c>
      <c r="B181" s="776" t="s">
        <v>1052</v>
      </c>
      <c r="C181" s="779" t="s">
        <v>1053</v>
      </c>
      <c r="D181" s="782" t="s">
        <v>181</v>
      </c>
      <c r="E181" s="785">
        <f>1.867</f>
        <v>1.867</v>
      </c>
      <c r="F181" s="897">
        <v>0</v>
      </c>
      <c r="G181" s="788">
        <f>SUM(P181:P184)/E181</f>
        <v>0</v>
      </c>
      <c r="H181" s="900">
        <v>0</v>
      </c>
      <c r="I181" s="791">
        <f>SUM(F181:H181)*E181</f>
        <v>0</v>
      </c>
      <c r="J181" s="794" t="s">
        <v>34</v>
      </c>
      <c r="K181" s="797"/>
      <c r="L181" s="518" t="s">
        <v>1067</v>
      </c>
      <c r="M181" s="467" t="s">
        <v>181</v>
      </c>
      <c r="N181" s="519">
        <v>1.87</v>
      </c>
      <c r="O181" s="541">
        <v>0</v>
      </c>
      <c r="P181" s="520">
        <f>O181*N181</f>
        <v>0</v>
      </c>
    </row>
    <row r="182" spans="1:16" s="165" customFormat="1" ht="26.45" customHeight="1" outlineLevel="1">
      <c r="A182" s="774"/>
      <c r="B182" s="777"/>
      <c r="C182" s="780"/>
      <c r="D182" s="783"/>
      <c r="E182" s="786"/>
      <c r="F182" s="898"/>
      <c r="G182" s="789"/>
      <c r="H182" s="901"/>
      <c r="I182" s="792"/>
      <c r="J182" s="795"/>
      <c r="K182" s="797"/>
      <c r="L182" s="521" t="s">
        <v>1069</v>
      </c>
      <c r="M182" s="476" t="s">
        <v>139</v>
      </c>
      <c r="N182" s="522">
        <v>1</v>
      </c>
      <c r="O182" s="542">
        <v>0</v>
      </c>
      <c r="P182" s="523">
        <f t="shared" ref="P182:P184" si="50">O182*N182</f>
        <v>0</v>
      </c>
    </row>
    <row r="183" spans="1:16" s="165" customFormat="1" ht="26.45" customHeight="1" outlineLevel="1">
      <c r="A183" s="774"/>
      <c r="B183" s="777"/>
      <c r="C183" s="780"/>
      <c r="D183" s="783"/>
      <c r="E183" s="786"/>
      <c r="F183" s="898"/>
      <c r="G183" s="789"/>
      <c r="H183" s="901"/>
      <c r="I183" s="792"/>
      <c r="J183" s="795"/>
      <c r="K183" s="797"/>
      <c r="L183" s="521" t="s">
        <v>1070</v>
      </c>
      <c r="M183" s="476" t="s">
        <v>139</v>
      </c>
      <c r="N183" s="522">
        <v>1</v>
      </c>
      <c r="O183" s="542">
        <v>0</v>
      </c>
      <c r="P183" s="523">
        <f t="shared" si="50"/>
        <v>0</v>
      </c>
    </row>
    <row r="184" spans="1:16" s="165" customFormat="1" ht="23.45" customHeight="1" outlineLevel="1" thickBot="1">
      <c r="A184" s="775"/>
      <c r="B184" s="778"/>
      <c r="C184" s="781"/>
      <c r="D184" s="784"/>
      <c r="E184" s="787"/>
      <c r="F184" s="899"/>
      <c r="G184" s="790"/>
      <c r="H184" s="902"/>
      <c r="I184" s="793"/>
      <c r="J184" s="796"/>
      <c r="K184" s="797"/>
      <c r="L184" s="524" t="s">
        <v>1068</v>
      </c>
      <c r="M184" s="473" t="s">
        <v>139</v>
      </c>
      <c r="N184" s="525">
        <v>1</v>
      </c>
      <c r="O184" s="543">
        <v>0</v>
      </c>
      <c r="P184" s="526">
        <f t="shared" si="50"/>
        <v>0</v>
      </c>
    </row>
    <row r="185" spans="1:16" s="165" customFormat="1" ht="44.1" customHeight="1" outlineLevel="1">
      <c r="A185" s="458" t="s">
        <v>1050</v>
      </c>
      <c r="B185" s="464" t="s">
        <v>1055</v>
      </c>
      <c r="C185" s="464" t="s">
        <v>1057</v>
      </c>
      <c r="D185" s="463" t="s">
        <v>82</v>
      </c>
      <c r="E185" s="574">
        <v>78</v>
      </c>
      <c r="F185" s="895">
        <v>0</v>
      </c>
      <c r="G185" s="895">
        <v>0</v>
      </c>
      <c r="H185" s="895">
        <v>0</v>
      </c>
      <c r="I185" s="610">
        <f>SUM(F185:H185)*E185</f>
        <v>0</v>
      </c>
      <c r="J185" s="498" t="s">
        <v>34</v>
      </c>
      <c r="K185" s="459"/>
    </row>
    <row r="186" spans="1:16" s="165" customFormat="1" ht="45" customHeight="1" outlineLevel="1">
      <c r="A186" s="458" t="s">
        <v>1051</v>
      </c>
      <c r="B186" s="464" t="s">
        <v>1056</v>
      </c>
      <c r="C186" s="464" t="s">
        <v>1054</v>
      </c>
      <c r="D186" s="463" t="s">
        <v>82</v>
      </c>
      <c r="E186" s="574">
        <v>63</v>
      </c>
      <c r="F186" s="895">
        <v>0</v>
      </c>
      <c r="G186" s="895">
        <v>0</v>
      </c>
      <c r="H186" s="895">
        <v>0</v>
      </c>
      <c r="I186" s="610">
        <f>SUM(F186:H186)*E186</f>
        <v>0</v>
      </c>
      <c r="J186" s="498" t="s">
        <v>34</v>
      </c>
      <c r="K186" s="459"/>
    </row>
    <row r="187" spans="1:16" s="47" customFormat="1" ht="29.45" customHeight="1">
      <c r="A187" s="515" t="s">
        <v>12</v>
      </c>
      <c r="B187" s="630" t="s">
        <v>284</v>
      </c>
      <c r="C187" s="631"/>
      <c r="D187" s="632"/>
      <c r="E187" s="559"/>
      <c r="F187" s="569"/>
      <c r="G187" s="569"/>
      <c r="H187" s="569"/>
      <c r="I187" s="591">
        <f>SUM(I188:I190)</f>
        <v>0</v>
      </c>
      <c r="J187" s="491"/>
      <c r="K187" s="352"/>
    </row>
    <row r="188" spans="1:16" s="47" customFormat="1" ht="41.45" customHeight="1" outlineLevel="1">
      <c r="A188" s="181" t="s">
        <v>285</v>
      </c>
      <c r="B188" s="444" t="s">
        <v>988</v>
      </c>
      <c r="C188" s="448" t="s">
        <v>987</v>
      </c>
      <c r="D188" s="449" t="s">
        <v>181</v>
      </c>
      <c r="E188" s="575">
        <f>0.25</f>
        <v>0.25</v>
      </c>
      <c r="F188" s="894">
        <v>0</v>
      </c>
      <c r="G188" s="894">
        <v>0</v>
      </c>
      <c r="H188" s="894">
        <v>0</v>
      </c>
      <c r="I188" s="592">
        <f>SUM(F188:H188)*E188</f>
        <v>0</v>
      </c>
      <c r="J188" s="499" t="s">
        <v>86</v>
      </c>
      <c r="K188" s="447"/>
    </row>
    <row r="189" spans="1:16" s="47" customFormat="1" ht="55.7" customHeight="1" outlineLevel="1">
      <c r="A189" s="181" t="s">
        <v>286</v>
      </c>
      <c r="B189" s="179" t="s">
        <v>288</v>
      </c>
      <c r="C189" s="176" t="s">
        <v>967</v>
      </c>
      <c r="D189" s="220" t="s">
        <v>119</v>
      </c>
      <c r="E189" s="436">
        <v>60</v>
      </c>
      <c r="F189" s="873">
        <v>0</v>
      </c>
      <c r="G189" s="873">
        <v>0</v>
      </c>
      <c r="H189" s="873">
        <v>0</v>
      </c>
      <c r="I189" s="588">
        <f t="shared" ref="I189" si="51">SUM(F189:H189)*E189</f>
        <v>0</v>
      </c>
      <c r="J189" s="491" t="s">
        <v>34</v>
      </c>
      <c r="K189" s="352"/>
    </row>
    <row r="190" spans="1:16" s="47" customFormat="1" ht="42" customHeight="1" outlineLevel="1">
      <c r="A190" s="181" t="s">
        <v>287</v>
      </c>
      <c r="B190" s="173" t="s">
        <v>289</v>
      </c>
      <c r="C190" s="176" t="s">
        <v>290</v>
      </c>
      <c r="D190" s="220" t="s">
        <v>98</v>
      </c>
      <c r="E190" s="436">
        <v>30</v>
      </c>
      <c r="F190" s="871">
        <v>0</v>
      </c>
      <c r="G190" s="592"/>
      <c r="H190" s="612"/>
      <c r="I190" s="588">
        <f>SUM(F190:H190)*E190</f>
        <v>0</v>
      </c>
      <c r="J190" s="491" t="s">
        <v>34</v>
      </c>
      <c r="K190" s="352"/>
    </row>
    <row r="191" spans="1:16" s="52" customFormat="1" ht="29.1" customHeight="1">
      <c r="A191" s="515" t="s">
        <v>13</v>
      </c>
      <c r="B191" s="624" t="s">
        <v>291</v>
      </c>
      <c r="C191" s="625"/>
      <c r="D191" s="626"/>
      <c r="E191" s="559"/>
      <c r="F191" s="569"/>
      <c r="G191" s="569"/>
      <c r="H191" s="613"/>
      <c r="I191" s="591">
        <f>SUM(I192:I207)</f>
        <v>0</v>
      </c>
      <c r="J191" s="491"/>
      <c r="K191" s="352"/>
    </row>
    <row r="192" spans="1:16" s="52" customFormat="1" ht="114.6" customHeight="1" outlineLevel="1" thickBot="1">
      <c r="A192" s="181" t="s">
        <v>292</v>
      </c>
      <c r="B192" s="173" t="s">
        <v>816</v>
      </c>
      <c r="C192" s="176" t="s">
        <v>814</v>
      </c>
      <c r="D192" s="220" t="s">
        <v>37</v>
      </c>
      <c r="E192" s="436">
        <v>60</v>
      </c>
      <c r="F192" s="893">
        <v>0</v>
      </c>
      <c r="G192" s="871">
        <v>0</v>
      </c>
      <c r="H192" s="872">
        <v>0</v>
      </c>
      <c r="I192" s="590">
        <f>SUM(F192:H192)*E192</f>
        <v>0</v>
      </c>
      <c r="J192" s="491" t="s">
        <v>34</v>
      </c>
      <c r="K192" s="352"/>
    </row>
    <row r="193" spans="1:16" s="52" customFormat="1" ht="41.45" customHeight="1" outlineLevel="1">
      <c r="A193" s="803" t="s">
        <v>293</v>
      </c>
      <c r="B193" s="765" t="s">
        <v>815</v>
      </c>
      <c r="C193" s="767" t="s">
        <v>1090</v>
      </c>
      <c r="D193" s="769" t="s">
        <v>37</v>
      </c>
      <c r="E193" s="771">
        <v>65</v>
      </c>
      <c r="F193" s="892">
        <v>0</v>
      </c>
      <c r="G193" s="817">
        <f>SUM(P193:P195)/E193</f>
        <v>0</v>
      </c>
      <c r="H193" s="884">
        <v>0</v>
      </c>
      <c r="I193" s="822">
        <f t="shared" ref="I193:I206" si="52">SUM(F193:H193)*E193</f>
        <v>0</v>
      </c>
      <c r="J193" s="743" t="s">
        <v>34</v>
      </c>
      <c r="K193" s="745"/>
      <c r="L193" s="549" t="s">
        <v>1089</v>
      </c>
      <c r="M193" s="467" t="s">
        <v>85</v>
      </c>
      <c r="N193" s="519">
        <v>65</v>
      </c>
      <c r="O193" s="538">
        <v>0</v>
      </c>
      <c r="P193" s="520">
        <f>O193*N193</f>
        <v>0</v>
      </c>
    </row>
    <row r="194" spans="1:16" s="52" customFormat="1" ht="50.1" customHeight="1" outlineLevel="1">
      <c r="A194" s="674"/>
      <c r="B194" s="704"/>
      <c r="C194" s="707"/>
      <c r="D194" s="679"/>
      <c r="E194" s="715"/>
      <c r="F194" s="889"/>
      <c r="G194" s="818"/>
      <c r="H194" s="890"/>
      <c r="I194" s="671"/>
      <c r="J194" s="802"/>
      <c r="K194" s="745"/>
      <c r="L194" s="550" t="s">
        <v>1087</v>
      </c>
      <c r="M194" s="547" t="s">
        <v>139</v>
      </c>
      <c r="N194" s="536">
        <v>4</v>
      </c>
      <c r="O194" s="544">
        <v>0</v>
      </c>
      <c r="P194" s="523">
        <f t="shared" ref="P194:P195" si="53">O194*N194</f>
        <v>0</v>
      </c>
    </row>
    <row r="195" spans="1:16" s="52" customFormat="1" ht="39.950000000000003" customHeight="1" outlineLevel="1" thickBot="1">
      <c r="A195" s="805"/>
      <c r="B195" s="766"/>
      <c r="C195" s="768"/>
      <c r="D195" s="770"/>
      <c r="E195" s="772"/>
      <c r="F195" s="876"/>
      <c r="G195" s="819"/>
      <c r="H195" s="879"/>
      <c r="I195" s="718"/>
      <c r="J195" s="744"/>
      <c r="K195" s="745"/>
      <c r="L195" s="551" t="s">
        <v>1088</v>
      </c>
      <c r="M195" s="552" t="s">
        <v>52</v>
      </c>
      <c r="N195" s="553">
        <v>6</v>
      </c>
      <c r="O195" s="539">
        <v>0</v>
      </c>
      <c r="P195" s="526">
        <f t="shared" si="53"/>
        <v>0</v>
      </c>
    </row>
    <row r="196" spans="1:16" s="52" customFormat="1" ht="27.6" customHeight="1" outlineLevel="1">
      <c r="A196" s="803" t="s">
        <v>294</v>
      </c>
      <c r="B196" s="814" t="s">
        <v>295</v>
      </c>
      <c r="C196" s="814" t="s">
        <v>818</v>
      </c>
      <c r="D196" s="815" t="s">
        <v>37</v>
      </c>
      <c r="E196" s="816">
        <f>80+15</f>
        <v>95</v>
      </c>
      <c r="F196" s="888">
        <v>0</v>
      </c>
      <c r="G196" s="817">
        <f>SUM(P196:P199)/E196</f>
        <v>0</v>
      </c>
      <c r="H196" s="891">
        <v>0</v>
      </c>
      <c r="I196" s="820">
        <f t="shared" si="52"/>
        <v>0</v>
      </c>
      <c r="J196" s="743" t="s">
        <v>34</v>
      </c>
      <c r="K196" s="745"/>
      <c r="L196" s="549" t="s">
        <v>1091</v>
      </c>
      <c r="M196" s="467" t="s">
        <v>85</v>
      </c>
      <c r="N196" s="519">
        <v>15</v>
      </c>
      <c r="O196" s="538">
        <v>0</v>
      </c>
      <c r="P196" s="520">
        <f>O196*N196</f>
        <v>0</v>
      </c>
    </row>
    <row r="197" spans="1:16" s="52" customFormat="1" ht="27" customHeight="1" outlineLevel="1">
      <c r="A197" s="674"/>
      <c r="B197" s="704"/>
      <c r="C197" s="704"/>
      <c r="D197" s="679"/>
      <c r="E197" s="715"/>
      <c r="F197" s="889"/>
      <c r="G197" s="818"/>
      <c r="H197" s="890"/>
      <c r="I197" s="821"/>
      <c r="J197" s="802"/>
      <c r="K197" s="745"/>
      <c r="L197" s="554" t="s">
        <v>1089</v>
      </c>
      <c r="M197" s="545" t="s">
        <v>85</v>
      </c>
      <c r="N197" s="546">
        <v>80</v>
      </c>
      <c r="O197" s="544">
        <v>0</v>
      </c>
      <c r="P197" s="523">
        <f>O197*N197</f>
        <v>0</v>
      </c>
    </row>
    <row r="198" spans="1:16" s="52" customFormat="1" ht="49.5" customHeight="1" outlineLevel="1">
      <c r="A198" s="674"/>
      <c r="B198" s="704"/>
      <c r="C198" s="704"/>
      <c r="D198" s="679"/>
      <c r="E198" s="715"/>
      <c r="F198" s="889"/>
      <c r="G198" s="818"/>
      <c r="H198" s="890"/>
      <c r="I198" s="671"/>
      <c r="J198" s="802"/>
      <c r="K198" s="745"/>
      <c r="L198" s="550" t="s">
        <v>1092</v>
      </c>
      <c r="M198" s="548" t="s">
        <v>139</v>
      </c>
      <c r="N198" s="536">
        <v>4</v>
      </c>
      <c r="O198" s="544">
        <v>0</v>
      </c>
      <c r="P198" s="523">
        <f t="shared" ref="P198:P199" si="54">O198*N198</f>
        <v>0</v>
      </c>
    </row>
    <row r="199" spans="1:16" s="52" customFormat="1" ht="32.1" customHeight="1" outlineLevel="1" thickBot="1">
      <c r="A199" s="805"/>
      <c r="B199" s="766"/>
      <c r="C199" s="766"/>
      <c r="D199" s="770"/>
      <c r="E199" s="772"/>
      <c r="F199" s="876"/>
      <c r="G199" s="819"/>
      <c r="H199" s="879"/>
      <c r="I199" s="718"/>
      <c r="J199" s="744"/>
      <c r="K199" s="745"/>
      <c r="L199" s="551" t="s">
        <v>1088</v>
      </c>
      <c r="M199" s="555" t="s">
        <v>52</v>
      </c>
      <c r="N199" s="553">
        <v>15</v>
      </c>
      <c r="O199" s="539">
        <v>0</v>
      </c>
      <c r="P199" s="526">
        <f t="shared" si="54"/>
        <v>0</v>
      </c>
    </row>
    <row r="200" spans="1:16" s="52" customFormat="1" ht="23.45" customHeight="1" outlineLevel="1">
      <c r="A200" s="803" t="s">
        <v>296</v>
      </c>
      <c r="B200" s="806" t="s">
        <v>297</v>
      </c>
      <c r="C200" s="808" t="s">
        <v>1032</v>
      </c>
      <c r="D200" s="810" t="s">
        <v>37</v>
      </c>
      <c r="E200" s="812">
        <f>56+30</f>
        <v>86</v>
      </c>
      <c r="F200" s="883">
        <v>0</v>
      </c>
      <c r="G200" s="817">
        <f>SUM(P200:P205)/E200</f>
        <v>0</v>
      </c>
      <c r="H200" s="884">
        <v>0</v>
      </c>
      <c r="I200" s="717">
        <f t="shared" si="52"/>
        <v>0</v>
      </c>
      <c r="J200" s="743" t="s">
        <v>34</v>
      </c>
      <c r="K200" s="745"/>
      <c r="L200" s="549" t="s">
        <v>1117</v>
      </c>
      <c r="M200" s="467" t="s">
        <v>85</v>
      </c>
      <c r="N200" s="519">
        <v>56</v>
      </c>
      <c r="O200" s="538">
        <v>0</v>
      </c>
      <c r="P200" s="520">
        <f>O200*N200</f>
        <v>0</v>
      </c>
    </row>
    <row r="201" spans="1:16" s="52" customFormat="1" ht="24" customHeight="1" outlineLevel="1">
      <c r="A201" s="804"/>
      <c r="B201" s="807"/>
      <c r="C201" s="809"/>
      <c r="D201" s="811"/>
      <c r="E201" s="813"/>
      <c r="F201" s="875"/>
      <c r="G201" s="823"/>
      <c r="H201" s="878"/>
      <c r="I201" s="671"/>
      <c r="J201" s="802"/>
      <c r="K201" s="745"/>
      <c r="L201" s="554" t="s">
        <v>1118</v>
      </c>
      <c r="M201" s="545" t="s">
        <v>85</v>
      </c>
      <c r="N201" s="546">
        <v>30</v>
      </c>
      <c r="O201" s="544">
        <v>0</v>
      </c>
      <c r="P201" s="523">
        <f>O201*N201</f>
        <v>0</v>
      </c>
    </row>
    <row r="202" spans="1:16" s="52" customFormat="1" ht="54" customHeight="1" outlineLevel="1">
      <c r="A202" s="804"/>
      <c r="B202" s="807"/>
      <c r="C202" s="809"/>
      <c r="D202" s="811"/>
      <c r="E202" s="813"/>
      <c r="F202" s="875"/>
      <c r="G202" s="823"/>
      <c r="H202" s="878"/>
      <c r="I202" s="671"/>
      <c r="J202" s="802"/>
      <c r="K202" s="745"/>
      <c r="L202" s="550" t="s">
        <v>1093</v>
      </c>
      <c r="M202" s="548" t="s">
        <v>139</v>
      </c>
      <c r="N202" s="536">
        <v>1</v>
      </c>
      <c r="O202" s="544">
        <v>0</v>
      </c>
      <c r="P202" s="523">
        <f t="shared" ref="P202:P205" si="55">O202*N202</f>
        <v>0</v>
      </c>
    </row>
    <row r="203" spans="1:16" s="52" customFormat="1" ht="43.5" customHeight="1" outlineLevel="1">
      <c r="A203" s="674"/>
      <c r="B203" s="704"/>
      <c r="C203" s="707"/>
      <c r="D203" s="679"/>
      <c r="E203" s="813"/>
      <c r="F203" s="875"/>
      <c r="G203" s="823"/>
      <c r="H203" s="878"/>
      <c r="I203" s="671"/>
      <c r="J203" s="802"/>
      <c r="K203" s="745"/>
      <c r="L203" s="550" t="s">
        <v>1092</v>
      </c>
      <c r="M203" s="548" t="s">
        <v>139</v>
      </c>
      <c r="N203" s="536">
        <v>1</v>
      </c>
      <c r="O203" s="544">
        <v>0</v>
      </c>
      <c r="P203" s="523">
        <f t="shared" ref="P203:P204" si="56">O203*N203</f>
        <v>0</v>
      </c>
    </row>
    <row r="204" spans="1:16" s="52" customFormat="1" ht="37.5" customHeight="1" outlineLevel="1">
      <c r="A204" s="674"/>
      <c r="B204" s="704"/>
      <c r="C204" s="707"/>
      <c r="D204" s="679"/>
      <c r="E204" s="813"/>
      <c r="F204" s="875"/>
      <c r="G204" s="823"/>
      <c r="H204" s="878"/>
      <c r="I204" s="671"/>
      <c r="J204" s="802"/>
      <c r="K204" s="745"/>
      <c r="L204" s="550" t="s">
        <v>1094</v>
      </c>
      <c r="M204" s="548" t="s">
        <v>139</v>
      </c>
      <c r="N204" s="536">
        <v>1</v>
      </c>
      <c r="O204" s="544">
        <v>0</v>
      </c>
      <c r="P204" s="523">
        <f t="shared" si="56"/>
        <v>0</v>
      </c>
    </row>
    <row r="205" spans="1:16" s="52" customFormat="1" ht="21.6" customHeight="1" outlineLevel="1" thickBot="1">
      <c r="A205" s="805"/>
      <c r="B205" s="766"/>
      <c r="C205" s="768"/>
      <c r="D205" s="770"/>
      <c r="E205" s="772"/>
      <c r="F205" s="876"/>
      <c r="G205" s="819"/>
      <c r="H205" s="879"/>
      <c r="I205" s="718"/>
      <c r="J205" s="744"/>
      <c r="K205" s="745"/>
      <c r="L205" s="551" t="s">
        <v>1088</v>
      </c>
      <c r="M205" s="555" t="s">
        <v>52</v>
      </c>
      <c r="N205" s="553">
        <v>16</v>
      </c>
      <c r="O205" s="539">
        <v>0</v>
      </c>
      <c r="P205" s="526">
        <f t="shared" si="55"/>
        <v>0</v>
      </c>
    </row>
    <row r="206" spans="1:16" s="52" customFormat="1" ht="77.099999999999994" customHeight="1" outlineLevel="1">
      <c r="A206" s="580" t="s">
        <v>1119</v>
      </c>
      <c r="B206" s="351" t="s">
        <v>1030</v>
      </c>
      <c r="C206" s="451" t="s">
        <v>1031</v>
      </c>
      <c r="D206" s="452" t="s">
        <v>63</v>
      </c>
      <c r="E206" s="560">
        <v>1</v>
      </c>
      <c r="F206" s="887">
        <v>0</v>
      </c>
      <c r="G206" s="887">
        <v>0</v>
      </c>
      <c r="H206" s="887">
        <v>0</v>
      </c>
      <c r="I206" s="594">
        <f t="shared" si="52"/>
        <v>0</v>
      </c>
      <c r="J206" s="491" t="s">
        <v>34</v>
      </c>
      <c r="K206" s="352"/>
    </row>
    <row r="207" spans="1:16" s="52" customFormat="1" ht="97.5" customHeight="1" outlineLevel="1">
      <c r="A207" s="181" t="s">
        <v>298</v>
      </c>
      <c r="B207" s="170" t="s">
        <v>299</v>
      </c>
      <c r="C207" s="178" t="s">
        <v>300</v>
      </c>
      <c r="D207" s="177" t="s">
        <v>63</v>
      </c>
      <c r="E207" s="436">
        <v>1</v>
      </c>
      <c r="F207" s="871">
        <v>0</v>
      </c>
      <c r="G207" s="871">
        <v>0</v>
      </c>
      <c r="H207" s="871">
        <v>0</v>
      </c>
      <c r="I207" s="590">
        <f t="shared" ref="I207" si="57">SUM(F207:H207)*E207</f>
        <v>0</v>
      </c>
      <c r="J207" s="491" t="s">
        <v>34</v>
      </c>
      <c r="K207" s="352"/>
    </row>
    <row r="208" spans="1:16" s="52" customFormat="1" ht="27.6" customHeight="1">
      <c r="A208" s="581" t="s">
        <v>15</v>
      </c>
      <c r="B208" s="624" t="s">
        <v>1116</v>
      </c>
      <c r="C208" s="625"/>
      <c r="D208" s="626"/>
      <c r="E208" s="559"/>
      <c r="F208" s="569"/>
      <c r="G208" s="569"/>
      <c r="H208" s="569"/>
      <c r="I208" s="591">
        <f>SUM(I209:I220)</f>
        <v>0</v>
      </c>
      <c r="J208" s="491"/>
      <c r="K208" s="352"/>
    </row>
    <row r="209" spans="1:11" s="52" customFormat="1" ht="96.95" customHeight="1" outlineLevel="1">
      <c r="A209" s="181" t="s">
        <v>301</v>
      </c>
      <c r="B209" s="184" t="s">
        <v>302</v>
      </c>
      <c r="C209" s="188" t="s">
        <v>878</v>
      </c>
      <c r="D209" s="220" t="s">
        <v>63</v>
      </c>
      <c r="E209" s="576">
        <v>1</v>
      </c>
      <c r="F209" s="885">
        <v>0</v>
      </c>
      <c r="G209" s="885">
        <v>0</v>
      </c>
      <c r="H209" s="886">
        <v>0</v>
      </c>
      <c r="I209" s="614">
        <f>SUM(F209:H209)*E209</f>
        <v>0</v>
      </c>
      <c r="J209" s="491" t="s">
        <v>34</v>
      </c>
      <c r="K209" s="352"/>
    </row>
    <row r="210" spans="1:11" s="52" customFormat="1" ht="105.6" customHeight="1" outlineLevel="1">
      <c r="A210" s="181" t="s">
        <v>303</v>
      </c>
      <c r="B210" s="173" t="s">
        <v>304</v>
      </c>
      <c r="C210" s="176" t="s">
        <v>879</v>
      </c>
      <c r="D210" s="220" t="s">
        <v>85</v>
      </c>
      <c r="E210" s="436">
        <v>250</v>
      </c>
      <c r="F210" s="873">
        <v>0</v>
      </c>
      <c r="G210" s="873">
        <v>0</v>
      </c>
      <c r="H210" s="873">
        <v>0</v>
      </c>
      <c r="I210" s="590">
        <f t="shared" ref="I210" si="58">SUM(F210:H210)*E210</f>
        <v>0</v>
      </c>
      <c r="J210" s="491" t="s">
        <v>34</v>
      </c>
      <c r="K210" s="352"/>
    </row>
    <row r="211" spans="1:11" s="52" customFormat="1" ht="101.1" customHeight="1" outlineLevel="1">
      <c r="A211" s="181" t="s">
        <v>305</v>
      </c>
      <c r="B211" s="173" t="s">
        <v>306</v>
      </c>
      <c r="C211" s="176" t="s">
        <v>307</v>
      </c>
      <c r="D211" s="220" t="s">
        <v>63</v>
      </c>
      <c r="E211" s="436">
        <v>3</v>
      </c>
      <c r="F211" s="871">
        <v>0</v>
      </c>
      <c r="G211" s="871">
        <v>0</v>
      </c>
      <c r="H211" s="871">
        <v>0</v>
      </c>
      <c r="I211" s="590">
        <f t="shared" ref="I211:I213" si="59">SUM(F211:H211)*E211</f>
        <v>0</v>
      </c>
      <c r="J211" s="491" t="s">
        <v>34</v>
      </c>
      <c r="K211" s="352"/>
    </row>
    <row r="212" spans="1:11" s="52" customFormat="1" ht="44.1" customHeight="1" outlineLevel="1">
      <c r="A212" s="181" t="s">
        <v>308</v>
      </c>
      <c r="B212" s="173" t="s">
        <v>880</v>
      </c>
      <c r="C212" s="176" t="s">
        <v>989</v>
      </c>
      <c r="D212" s="220" t="s">
        <v>29</v>
      </c>
      <c r="E212" s="436">
        <v>2</v>
      </c>
      <c r="F212" s="871">
        <v>0</v>
      </c>
      <c r="G212" s="592"/>
      <c r="H212" s="871">
        <v>0</v>
      </c>
      <c r="I212" s="590">
        <f t="shared" si="59"/>
        <v>0</v>
      </c>
      <c r="J212" s="491" t="s">
        <v>34</v>
      </c>
      <c r="K212" s="352"/>
    </row>
    <row r="213" spans="1:11" s="52" customFormat="1" ht="109.5" customHeight="1" outlineLevel="1">
      <c r="A213" s="181" t="s">
        <v>309</v>
      </c>
      <c r="B213" s="173" t="s">
        <v>310</v>
      </c>
      <c r="C213" s="176" t="s">
        <v>881</v>
      </c>
      <c r="D213" s="220" t="s">
        <v>85</v>
      </c>
      <c r="E213" s="436">
        <f>100+60</f>
        <v>160</v>
      </c>
      <c r="F213" s="871">
        <v>0</v>
      </c>
      <c r="G213" s="871">
        <v>0</v>
      </c>
      <c r="H213" s="871">
        <v>0</v>
      </c>
      <c r="I213" s="590">
        <f t="shared" si="59"/>
        <v>0</v>
      </c>
      <c r="J213" s="491" t="s">
        <v>34</v>
      </c>
      <c r="K213" s="352"/>
    </row>
    <row r="214" spans="1:11" s="52" customFormat="1" ht="192.95" customHeight="1" outlineLevel="1">
      <c r="A214" s="181" t="s">
        <v>311</v>
      </c>
      <c r="B214" s="170" t="s">
        <v>312</v>
      </c>
      <c r="C214" s="175" t="s">
        <v>970</v>
      </c>
      <c r="D214" s="220" t="s">
        <v>85</v>
      </c>
      <c r="E214" s="436">
        <f>3*60+10</f>
        <v>190</v>
      </c>
      <c r="F214" s="871">
        <v>0</v>
      </c>
      <c r="G214" s="871">
        <v>0</v>
      </c>
      <c r="H214" s="871">
        <v>0</v>
      </c>
      <c r="I214" s="590">
        <f>SUM(F214:H214)*E214</f>
        <v>0</v>
      </c>
      <c r="J214" s="491" t="s">
        <v>34</v>
      </c>
      <c r="K214" s="352"/>
    </row>
    <row r="215" spans="1:11" s="52" customFormat="1" ht="82.5" customHeight="1" outlineLevel="1">
      <c r="A215" s="181" t="s">
        <v>313</v>
      </c>
      <c r="B215" s="173" t="s">
        <v>314</v>
      </c>
      <c r="C215" s="176" t="s">
        <v>882</v>
      </c>
      <c r="D215" s="220" t="s">
        <v>85</v>
      </c>
      <c r="E215" s="436">
        <f>120+80+40+70+80</f>
        <v>390</v>
      </c>
      <c r="F215" s="871">
        <v>0</v>
      </c>
      <c r="G215" s="871">
        <v>0</v>
      </c>
      <c r="H215" s="871">
        <v>0</v>
      </c>
      <c r="I215" s="590">
        <f>SUM(F215:H215)*E215</f>
        <v>0</v>
      </c>
      <c r="J215" s="491"/>
      <c r="K215" s="352"/>
    </row>
    <row r="216" spans="1:11" s="52" customFormat="1" ht="81.599999999999994" customHeight="1" outlineLevel="1">
      <c r="A216" s="181" t="s">
        <v>315</v>
      </c>
      <c r="B216" s="170" t="s">
        <v>316</v>
      </c>
      <c r="C216" s="178" t="s">
        <v>883</v>
      </c>
      <c r="D216" s="220" t="s">
        <v>63</v>
      </c>
      <c r="E216" s="436">
        <v>3</v>
      </c>
      <c r="F216" s="871">
        <v>0</v>
      </c>
      <c r="G216" s="871">
        <v>0</v>
      </c>
      <c r="H216" s="871">
        <v>0</v>
      </c>
      <c r="I216" s="590">
        <f>SUM(F216:H216)*E216</f>
        <v>0</v>
      </c>
      <c r="J216" s="491" t="s">
        <v>34</v>
      </c>
      <c r="K216" s="352"/>
    </row>
    <row r="217" spans="1:11" s="52" customFormat="1" ht="121.5" customHeight="1" outlineLevel="1">
      <c r="A217" s="181" t="s">
        <v>317</v>
      </c>
      <c r="B217" s="173" t="s">
        <v>886</v>
      </c>
      <c r="C217" s="176" t="s">
        <v>885</v>
      </c>
      <c r="D217" s="220" t="s">
        <v>85</v>
      </c>
      <c r="E217" s="436">
        <v>350</v>
      </c>
      <c r="F217" s="871">
        <v>0</v>
      </c>
      <c r="G217" s="871">
        <v>0</v>
      </c>
      <c r="H217" s="871">
        <v>0</v>
      </c>
      <c r="I217" s="590">
        <f t="shared" ref="I217:I220" si="60">SUM(F217:H217)*E217</f>
        <v>0</v>
      </c>
      <c r="J217" s="491" t="s">
        <v>34</v>
      </c>
      <c r="K217" s="352"/>
    </row>
    <row r="218" spans="1:11" s="52" customFormat="1" ht="96" customHeight="1" outlineLevel="1">
      <c r="A218" s="181" t="s">
        <v>318</v>
      </c>
      <c r="B218" s="173" t="s">
        <v>319</v>
      </c>
      <c r="C218" s="176" t="s">
        <v>884</v>
      </c>
      <c r="D218" s="220" t="s">
        <v>37</v>
      </c>
      <c r="E218" s="436">
        <f>180+60</f>
        <v>240</v>
      </c>
      <c r="F218" s="871">
        <v>0</v>
      </c>
      <c r="G218" s="871">
        <v>0</v>
      </c>
      <c r="H218" s="871">
        <v>0</v>
      </c>
      <c r="I218" s="590">
        <f t="shared" si="60"/>
        <v>0</v>
      </c>
      <c r="J218" s="491" t="s">
        <v>34</v>
      </c>
      <c r="K218" s="352"/>
    </row>
    <row r="219" spans="1:11" s="52" customFormat="1" ht="44.45" customHeight="1" outlineLevel="1">
      <c r="A219" s="181" t="s">
        <v>320</v>
      </c>
      <c r="B219" s="173" t="s">
        <v>321</v>
      </c>
      <c r="C219" s="176" t="s">
        <v>322</v>
      </c>
      <c r="D219" s="177" t="s">
        <v>29</v>
      </c>
      <c r="E219" s="436">
        <v>2</v>
      </c>
      <c r="F219" s="871">
        <v>0</v>
      </c>
      <c r="G219" s="871">
        <v>0</v>
      </c>
      <c r="H219" s="871">
        <v>0</v>
      </c>
      <c r="I219" s="590">
        <f t="shared" si="60"/>
        <v>0</v>
      </c>
      <c r="J219" s="500" t="s">
        <v>34</v>
      </c>
      <c r="K219" s="505"/>
    </row>
    <row r="220" spans="1:11" s="52" customFormat="1" ht="56.1" customHeight="1" outlineLevel="1">
      <c r="A220" s="181" t="s">
        <v>323</v>
      </c>
      <c r="B220" s="173" t="s">
        <v>324</v>
      </c>
      <c r="C220" s="176" t="s">
        <v>325</v>
      </c>
      <c r="D220" s="220" t="s">
        <v>63</v>
      </c>
      <c r="E220" s="436">
        <v>1</v>
      </c>
      <c r="F220" s="871">
        <v>0</v>
      </c>
      <c r="G220" s="871">
        <v>0</v>
      </c>
      <c r="H220" s="871">
        <v>0</v>
      </c>
      <c r="I220" s="590">
        <f t="shared" si="60"/>
        <v>0</v>
      </c>
      <c r="J220" s="491" t="s">
        <v>34</v>
      </c>
      <c r="K220" s="352"/>
    </row>
    <row r="221" spans="1:11" s="52" customFormat="1" ht="30" customHeight="1">
      <c r="A221" s="581" t="s">
        <v>327</v>
      </c>
      <c r="B221" s="728" t="s">
        <v>328</v>
      </c>
      <c r="C221" s="728"/>
      <c r="D221" s="225"/>
      <c r="E221" s="559"/>
      <c r="F221" s="569"/>
      <c r="G221" s="569"/>
      <c r="H221" s="569"/>
      <c r="I221" s="591">
        <f>SUM(I222:I224)</f>
        <v>0</v>
      </c>
      <c r="J221" s="491" t="s">
        <v>326</v>
      </c>
      <c r="K221" s="352"/>
    </row>
    <row r="222" spans="1:11" s="52" customFormat="1" ht="57" customHeight="1" outlineLevel="1">
      <c r="A222" s="181" t="s">
        <v>329</v>
      </c>
      <c r="B222" s="173" t="s">
        <v>330</v>
      </c>
      <c r="C222" s="176" t="s">
        <v>331</v>
      </c>
      <c r="D222" s="220" t="s">
        <v>52</v>
      </c>
      <c r="E222" s="436">
        <v>45</v>
      </c>
      <c r="F222" s="871">
        <v>0</v>
      </c>
      <c r="G222" s="871">
        <v>0</v>
      </c>
      <c r="H222" s="871">
        <v>0</v>
      </c>
      <c r="I222" s="590">
        <f>SUM(F222:H222)*E222</f>
        <v>0</v>
      </c>
      <c r="J222" s="491" t="s">
        <v>34</v>
      </c>
      <c r="K222" s="352"/>
    </row>
    <row r="223" spans="1:11" s="52" customFormat="1" ht="62.1" customHeight="1" outlineLevel="1">
      <c r="A223" s="181" t="s">
        <v>332</v>
      </c>
      <c r="B223" s="173" t="s">
        <v>334</v>
      </c>
      <c r="C223" s="176" t="s">
        <v>335</v>
      </c>
      <c r="D223" s="220" t="s">
        <v>37</v>
      </c>
      <c r="E223" s="436">
        <v>20</v>
      </c>
      <c r="F223" s="871">
        <v>0</v>
      </c>
      <c r="G223" s="871">
        <v>0</v>
      </c>
      <c r="H223" s="871">
        <v>0</v>
      </c>
      <c r="I223" s="590">
        <f t="shared" ref="I223:I224" si="61">SUM(F223:H223)*E223</f>
        <v>0</v>
      </c>
      <c r="J223" s="491" t="s">
        <v>34</v>
      </c>
      <c r="K223" s="352"/>
    </row>
    <row r="224" spans="1:11" s="52" customFormat="1" ht="74.25" customHeight="1" outlineLevel="1">
      <c r="A224" s="181" t="s">
        <v>333</v>
      </c>
      <c r="B224" s="173" t="s">
        <v>336</v>
      </c>
      <c r="C224" s="176" t="s">
        <v>337</v>
      </c>
      <c r="D224" s="220" t="s">
        <v>76</v>
      </c>
      <c r="E224" s="436">
        <v>100</v>
      </c>
      <c r="F224" s="871">
        <v>0</v>
      </c>
      <c r="G224" s="871">
        <v>0</v>
      </c>
      <c r="H224" s="871">
        <v>0</v>
      </c>
      <c r="I224" s="590">
        <f t="shared" si="61"/>
        <v>0</v>
      </c>
      <c r="J224" s="491" t="s">
        <v>338</v>
      </c>
      <c r="K224" s="352"/>
    </row>
    <row r="225" spans="1:16" s="49" customFormat="1" ht="30" customHeight="1">
      <c r="A225" s="535" t="s">
        <v>17</v>
      </c>
      <c r="B225" s="633" t="s">
        <v>339</v>
      </c>
      <c r="C225" s="634"/>
      <c r="D225" s="635"/>
      <c r="E225" s="436"/>
      <c r="F225" s="592"/>
      <c r="G225" s="592"/>
      <c r="H225" s="592"/>
      <c r="I225" s="590"/>
      <c r="J225" s="491"/>
      <c r="K225" s="352"/>
    </row>
    <row r="226" spans="1:16" s="49" customFormat="1" ht="29.45" customHeight="1">
      <c r="A226" s="515" t="s">
        <v>340</v>
      </c>
      <c r="B226" s="624" t="s">
        <v>341</v>
      </c>
      <c r="C226" s="625"/>
      <c r="D226" s="626"/>
      <c r="E226" s="559"/>
      <c r="F226" s="569"/>
      <c r="G226" s="569"/>
      <c r="H226" s="569"/>
      <c r="I226" s="591">
        <f>SUM(I227:I232)</f>
        <v>0</v>
      </c>
      <c r="J226" s="491"/>
      <c r="K226" s="352"/>
    </row>
    <row r="227" spans="1:16" s="52" customFormat="1" ht="64.5" customHeight="1" outlineLevel="1">
      <c r="A227" s="181" t="s">
        <v>342</v>
      </c>
      <c r="B227" s="173" t="s">
        <v>343</v>
      </c>
      <c r="C227" s="176" t="s">
        <v>914</v>
      </c>
      <c r="D227" s="220" t="s">
        <v>52</v>
      </c>
      <c r="E227" s="436">
        <f>(190+745)*0.6</f>
        <v>561</v>
      </c>
      <c r="F227" s="871">
        <v>0</v>
      </c>
      <c r="G227" s="592"/>
      <c r="H227" s="871">
        <v>0</v>
      </c>
      <c r="I227" s="590">
        <f t="shared" ref="I227:I232" si="62">SUM(F227:H227)*E227</f>
        <v>0</v>
      </c>
      <c r="J227" s="491" t="s">
        <v>34</v>
      </c>
      <c r="K227" s="352"/>
    </row>
    <row r="228" spans="1:16" s="52" customFormat="1" ht="104.45" customHeight="1" outlineLevel="1">
      <c r="A228" s="181" t="s">
        <v>344</v>
      </c>
      <c r="B228" s="173" t="s">
        <v>345</v>
      </c>
      <c r="C228" s="176" t="s">
        <v>915</v>
      </c>
      <c r="D228" s="220" t="s">
        <v>52</v>
      </c>
      <c r="E228" s="436">
        <v>70</v>
      </c>
      <c r="F228" s="871">
        <v>0</v>
      </c>
      <c r="G228" s="871">
        <v>0</v>
      </c>
      <c r="H228" s="871">
        <v>0</v>
      </c>
      <c r="I228" s="590">
        <f t="shared" si="62"/>
        <v>0</v>
      </c>
      <c r="J228" s="494" t="s">
        <v>34</v>
      </c>
      <c r="K228" s="351"/>
    </row>
    <row r="229" spans="1:16" s="52" customFormat="1" ht="51" customHeight="1" outlineLevel="1">
      <c r="A229" s="181" t="s">
        <v>346</v>
      </c>
      <c r="B229" s="173" t="s">
        <v>347</v>
      </c>
      <c r="C229" s="176" t="s">
        <v>916</v>
      </c>
      <c r="D229" s="220" t="s">
        <v>33</v>
      </c>
      <c r="E229" s="436">
        <f>(190+745)</f>
        <v>935</v>
      </c>
      <c r="F229" s="871">
        <v>0</v>
      </c>
      <c r="G229" s="592"/>
      <c r="H229" s="871">
        <v>0</v>
      </c>
      <c r="I229" s="590">
        <f t="shared" si="62"/>
        <v>0</v>
      </c>
      <c r="J229" s="491" t="s">
        <v>34</v>
      </c>
      <c r="K229" s="352"/>
    </row>
    <row r="230" spans="1:16" s="52" customFormat="1" ht="44.25" customHeight="1" outlineLevel="1">
      <c r="A230" s="181" t="s">
        <v>348</v>
      </c>
      <c r="B230" s="173" t="s">
        <v>349</v>
      </c>
      <c r="C230" s="176" t="s">
        <v>350</v>
      </c>
      <c r="D230" s="220" t="s">
        <v>52</v>
      </c>
      <c r="E230" s="436">
        <v>150</v>
      </c>
      <c r="F230" s="871">
        <v>0</v>
      </c>
      <c r="G230" s="871">
        <v>0</v>
      </c>
      <c r="H230" s="871">
        <v>0</v>
      </c>
      <c r="I230" s="590">
        <f t="shared" si="62"/>
        <v>0</v>
      </c>
      <c r="J230" s="491" t="s">
        <v>34</v>
      </c>
      <c r="K230" s="352"/>
    </row>
    <row r="231" spans="1:16" s="52" customFormat="1" ht="33" customHeight="1" outlineLevel="1">
      <c r="A231" s="181" t="s">
        <v>351</v>
      </c>
      <c r="B231" s="173" t="s">
        <v>352</v>
      </c>
      <c r="C231" s="176" t="s">
        <v>353</v>
      </c>
      <c r="D231" s="220" t="s">
        <v>63</v>
      </c>
      <c r="E231" s="436">
        <v>15</v>
      </c>
      <c r="F231" s="871">
        <v>0</v>
      </c>
      <c r="G231" s="873">
        <v>0</v>
      </c>
      <c r="H231" s="871">
        <v>0</v>
      </c>
      <c r="I231" s="590">
        <f t="shared" si="62"/>
        <v>0</v>
      </c>
      <c r="J231" s="491" t="s">
        <v>34</v>
      </c>
      <c r="K231" s="352"/>
    </row>
    <row r="232" spans="1:16" s="52" customFormat="1" ht="67.349999999999994" customHeight="1" outlineLevel="1">
      <c r="A232" s="181" t="s">
        <v>354</v>
      </c>
      <c r="B232" s="173" t="s">
        <v>355</v>
      </c>
      <c r="C232" s="176" t="s">
        <v>917</v>
      </c>
      <c r="D232" s="220" t="s">
        <v>52</v>
      </c>
      <c r="E232" s="436">
        <f>(491+121+76)*1.25</f>
        <v>860</v>
      </c>
      <c r="F232" s="871">
        <v>0</v>
      </c>
      <c r="G232" s="871">
        <v>0</v>
      </c>
      <c r="H232" s="871">
        <v>0</v>
      </c>
      <c r="I232" s="590">
        <f t="shared" si="62"/>
        <v>0</v>
      </c>
      <c r="J232" s="491" t="s">
        <v>34</v>
      </c>
      <c r="K232" s="352"/>
    </row>
    <row r="233" spans="1:16" s="52" customFormat="1" ht="29.1" customHeight="1">
      <c r="A233" s="515" t="s">
        <v>356</v>
      </c>
      <c r="B233" s="627" t="s">
        <v>357</v>
      </c>
      <c r="C233" s="628"/>
      <c r="D233" s="629"/>
      <c r="E233" s="559"/>
      <c r="F233" s="569"/>
      <c r="G233" s="569"/>
      <c r="H233" s="569"/>
      <c r="I233" s="591">
        <f>SUM(I234:I235)</f>
        <v>0</v>
      </c>
      <c r="J233" s="491"/>
      <c r="K233" s="352"/>
    </row>
    <row r="234" spans="1:16" s="52" customFormat="1" ht="126.6" customHeight="1" outlineLevel="1">
      <c r="A234" s="181" t="s">
        <v>358</v>
      </c>
      <c r="B234" s="173" t="s">
        <v>359</v>
      </c>
      <c r="C234" s="176" t="s">
        <v>912</v>
      </c>
      <c r="D234" s="220" t="s">
        <v>33</v>
      </c>
      <c r="E234" s="436">
        <v>250</v>
      </c>
      <c r="F234" s="871">
        <v>0</v>
      </c>
      <c r="G234" s="592"/>
      <c r="H234" s="871">
        <v>0</v>
      </c>
      <c r="I234" s="590">
        <f>SUM(F234:H234)*E234</f>
        <v>0</v>
      </c>
      <c r="J234" s="491" t="s">
        <v>34</v>
      </c>
      <c r="K234" s="352"/>
    </row>
    <row r="235" spans="1:16" s="52" customFormat="1" ht="96.6" customHeight="1" outlineLevel="1">
      <c r="A235" s="181" t="s">
        <v>360</v>
      </c>
      <c r="B235" s="173" t="s">
        <v>361</v>
      </c>
      <c r="C235" s="176" t="s">
        <v>913</v>
      </c>
      <c r="D235" s="220" t="s">
        <v>33</v>
      </c>
      <c r="E235" s="436">
        <v>350</v>
      </c>
      <c r="F235" s="871">
        <v>0</v>
      </c>
      <c r="G235" s="592"/>
      <c r="H235" s="871">
        <v>0</v>
      </c>
      <c r="I235" s="590">
        <f>SUM(F235:H235)*E235</f>
        <v>0</v>
      </c>
      <c r="J235" s="491" t="s">
        <v>34</v>
      </c>
      <c r="K235" s="352"/>
    </row>
    <row r="236" spans="1:16" s="52" customFormat="1" ht="56.45" customHeight="1">
      <c r="A236" s="515" t="s">
        <v>362</v>
      </c>
      <c r="B236" s="532" t="s">
        <v>1115</v>
      </c>
      <c r="C236" s="533">
        <f>650</f>
        <v>650</v>
      </c>
      <c r="D236" s="229"/>
      <c r="E236" s="559"/>
      <c r="F236" s="569"/>
      <c r="G236" s="569"/>
      <c r="H236" s="569"/>
      <c r="I236" s="591">
        <f>SUM(I237:I241)</f>
        <v>0</v>
      </c>
      <c r="J236" s="491"/>
      <c r="K236" s="352"/>
    </row>
    <row r="237" spans="1:16" s="52" customFormat="1" ht="86.45" customHeight="1" outlineLevel="1">
      <c r="A237" s="181" t="s">
        <v>363</v>
      </c>
      <c r="B237" s="173" t="s">
        <v>364</v>
      </c>
      <c r="C237" s="176" t="s">
        <v>906</v>
      </c>
      <c r="D237" s="220" t="s">
        <v>37</v>
      </c>
      <c r="E237" s="436">
        <f>460</f>
        <v>460</v>
      </c>
      <c r="F237" s="873">
        <v>0</v>
      </c>
      <c r="G237" s="873">
        <v>0</v>
      </c>
      <c r="H237" s="873">
        <v>0</v>
      </c>
      <c r="I237" s="590">
        <f t="shared" ref="I237:I239" si="63">SUM(F237:H237)*E237</f>
        <v>0</v>
      </c>
      <c r="J237" s="491" t="s">
        <v>34</v>
      </c>
      <c r="K237" s="352"/>
    </row>
    <row r="238" spans="1:16" s="52" customFormat="1" ht="36.6" customHeight="1" outlineLevel="1">
      <c r="A238" s="181" t="s">
        <v>365</v>
      </c>
      <c r="B238" s="173" t="s">
        <v>366</v>
      </c>
      <c r="C238" s="176" t="s">
        <v>910</v>
      </c>
      <c r="D238" s="230" t="s">
        <v>52</v>
      </c>
      <c r="E238" s="436">
        <f>190*0.15</f>
        <v>28.5</v>
      </c>
      <c r="F238" s="873">
        <v>0</v>
      </c>
      <c r="G238" s="873">
        <v>0</v>
      </c>
      <c r="H238" s="873">
        <v>0</v>
      </c>
      <c r="I238" s="590">
        <f>SUM(F238:H238)*E238</f>
        <v>0</v>
      </c>
      <c r="J238" s="491" t="s">
        <v>34</v>
      </c>
      <c r="K238" s="352"/>
    </row>
    <row r="239" spans="1:16" s="52" customFormat="1" ht="38.1" customHeight="1" outlineLevel="1">
      <c r="A239" s="181" t="s">
        <v>367</v>
      </c>
      <c r="B239" s="173" t="s">
        <v>368</v>
      </c>
      <c r="C239" s="176" t="s">
        <v>910</v>
      </c>
      <c r="D239" s="220" t="s">
        <v>52</v>
      </c>
      <c r="E239" s="436">
        <f>190*0.15</f>
        <v>28.5</v>
      </c>
      <c r="F239" s="873">
        <v>0</v>
      </c>
      <c r="G239" s="873">
        <v>0</v>
      </c>
      <c r="H239" s="873">
        <v>0</v>
      </c>
      <c r="I239" s="590">
        <f t="shared" si="63"/>
        <v>0</v>
      </c>
      <c r="J239" s="491" t="s">
        <v>34</v>
      </c>
      <c r="K239" s="352"/>
    </row>
    <row r="240" spans="1:16" s="52" customFormat="1" ht="59.1" customHeight="1" outlineLevel="1">
      <c r="A240" s="181" t="s">
        <v>369</v>
      </c>
      <c r="B240" s="173" t="s">
        <v>908</v>
      </c>
      <c r="C240" s="176" t="s">
        <v>910</v>
      </c>
      <c r="D240" s="220" t="s">
        <v>370</v>
      </c>
      <c r="E240" s="436">
        <f>190</f>
        <v>190</v>
      </c>
      <c r="F240" s="873">
        <v>0</v>
      </c>
      <c r="G240" s="873">
        <v>0</v>
      </c>
      <c r="H240" s="873">
        <v>0</v>
      </c>
      <c r="I240" s="569">
        <f t="shared" ref="I240:I241" si="64">SUM(F240:H240)*E240</f>
        <v>0</v>
      </c>
      <c r="J240" s="491" t="s">
        <v>34</v>
      </c>
      <c r="K240" s="352"/>
      <c r="L240" s="477"/>
      <c r="M240" s="478"/>
      <c r="N240" s="479"/>
      <c r="O240" s="479"/>
      <c r="P240" s="479"/>
    </row>
    <row r="241" spans="1:16" s="52" customFormat="1" ht="54" customHeight="1" outlineLevel="1">
      <c r="A241" s="181" t="s">
        <v>371</v>
      </c>
      <c r="B241" s="173" t="s">
        <v>909</v>
      </c>
      <c r="C241" s="176" t="s">
        <v>907</v>
      </c>
      <c r="D241" s="220" t="s">
        <v>370</v>
      </c>
      <c r="E241" s="436">
        <f>C236</f>
        <v>650</v>
      </c>
      <c r="F241" s="873">
        <v>0</v>
      </c>
      <c r="G241" s="873">
        <v>0</v>
      </c>
      <c r="H241" s="873">
        <v>0</v>
      </c>
      <c r="I241" s="569">
        <f t="shared" si="64"/>
        <v>0</v>
      </c>
      <c r="J241" s="491" t="s">
        <v>34</v>
      </c>
      <c r="K241" s="352"/>
      <c r="L241" s="477"/>
      <c r="M241" s="478"/>
      <c r="N241" s="479"/>
      <c r="O241" s="479"/>
      <c r="P241" s="479"/>
    </row>
    <row r="242" spans="1:16" s="52" customFormat="1" ht="31.5" customHeight="1">
      <c r="A242" s="515" t="s">
        <v>372</v>
      </c>
      <c r="B242" s="532" t="s">
        <v>902</v>
      </c>
      <c r="C242" s="533">
        <f>745</f>
        <v>745</v>
      </c>
      <c r="D242" s="229"/>
      <c r="E242" s="559"/>
      <c r="F242" s="569"/>
      <c r="G242" s="569"/>
      <c r="H242" s="613"/>
      <c r="I242" s="591">
        <f>SUM(I243:I249)</f>
        <v>0</v>
      </c>
      <c r="J242" s="491"/>
      <c r="K242" s="352"/>
    </row>
    <row r="243" spans="1:16" s="52" customFormat="1" ht="33" customHeight="1" outlineLevel="1">
      <c r="A243" s="181" t="s">
        <v>373</v>
      </c>
      <c r="B243" s="173" t="s">
        <v>366</v>
      </c>
      <c r="C243" s="176" t="s">
        <v>905</v>
      </c>
      <c r="D243" s="220" t="s">
        <v>52</v>
      </c>
      <c r="E243" s="436">
        <f>C242*0.15</f>
        <v>111.75</v>
      </c>
      <c r="F243" s="871">
        <v>0</v>
      </c>
      <c r="G243" s="871">
        <v>0</v>
      </c>
      <c r="H243" s="872">
        <v>0</v>
      </c>
      <c r="I243" s="590">
        <f>SUM(F243:H243)*E243</f>
        <v>0</v>
      </c>
      <c r="J243" s="491" t="s">
        <v>34</v>
      </c>
      <c r="K243" s="352"/>
    </row>
    <row r="244" spans="1:16" s="52" customFormat="1" ht="33.950000000000003" customHeight="1" outlineLevel="1">
      <c r="A244" s="181" t="s">
        <v>374</v>
      </c>
      <c r="B244" s="173" t="s">
        <v>375</v>
      </c>
      <c r="C244" s="176" t="s">
        <v>905</v>
      </c>
      <c r="D244" s="220" t="s">
        <v>52</v>
      </c>
      <c r="E244" s="436">
        <f>C242*0.15</f>
        <v>111.75</v>
      </c>
      <c r="F244" s="871">
        <v>0</v>
      </c>
      <c r="G244" s="871">
        <v>0</v>
      </c>
      <c r="H244" s="872">
        <v>0</v>
      </c>
      <c r="I244" s="590">
        <f t="shared" ref="I244:I249" si="65">SUM(F244:H244)*E244</f>
        <v>0</v>
      </c>
      <c r="J244" s="491" t="s">
        <v>34</v>
      </c>
      <c r="K244" s="352"/>
    </row>
    <row r="245" spans="1:16" s="52" customFormat="1" ht="33.6" customHeight="1" outlineLevel="1">
      <c r="A245" s="181" t="s">
        <v>376</v>
      </c>
      <c r="B245" s="173" t="s">
        <v>377</v>
      </c>
      <c r="C245" s="176" t="s">
        <v>905</v>
      </c>
      <c r="D245" s="220" t="s">
        <v>33</v>
      </c>
      <c r="E245" s="436">
        <f>C242</f>
        <v>745</v>
      </c>
      <c r="F245" s="871">
        <v>0</v>
      </c>
      <c r="G245" s="871">
        <v>0</v>
      </c>
      <c r="H245" s="872">
        <v>0</v>
      </c>
      <c r="I245" s="590">
        <f t="shared" si="65"/>
        <v>0</v>
      </c>
      <c r="J245" s="491" t="s">
        <v>34</v>
      </c>
      <c r="K245" s="352"/>
    </row>
    <row r="246" spans="1:16" s="52" customFormat="1" ht="33.6" customHeight="1" outlineLevel="1">
      <c r="A246" s="181" t="s">
        <v>378</v>
      </c>
      <c r="B246" s="170" t="s">
        <v>379</v>
      </c>
      <c r="C246" s="176" t="s">
        <v>905</v>
      </c>
      <c r="D246" s="220" t="s">
        <v>52</v>
      </c>
      <c r="E246" s="436">
        <f>C242*0.2</f>
        <v>149</v>
      </c>
      <c r="F246" s="871">
        <v>0</v>
      </c>
      <c r="G246" s="871">
        <v>0</v>
      </c>
      <c r="H246" s="872">
        <v>0</v>
      </c>
      <c r="I246" s="569">
        <f t="shared" si="65"/>
        <v>0</v>
      </c>
      <c r="J246" s="491" t="s">
        <v>34</v>
      </c>
      <c r="K246" s="352"/>
    </row>
    <row r="247" spans="1:16" s="52" customFormat="1" ht="43.5" customHeight="1" outlineLevel="1">
      <c r="A247" s="181" t="s">
        <v>380</v>
      </c>
      <c r="B247" s="173" t="s">
        <v>381</v>
      </c>
      <c r="C247" s="176" t="s">
        <v>905</v>
      </c>
      <c r="D247" s="220" t="s">
        <v>52</v>
      </c>
      <c r="E247" s="436">
        <f>C242*0.04</f>
        <v>29.8</v>
      </c>
      <c r="F247" s="592"/>
      <c r="G247" s="871">
        <v>0</v>
      </c>
      <c r="H247" s="872">
        <v>0</v>
      </c>
      <c r="I247" s="590">
        <f t="shared" si="65"/>
        <v>0</v>
      </c>
      <c r="J247" s="491" t="s">
        <v>34</v>
      </c>
      <c r="K247" s="352"/>
    </row>
    <row r="248" spans="1:16" s="52" customFormat="1" ht="46.5" customHeight="1" outlineLevel="1">
      <c r="A248" s="181" t="s">
        <v>382</v>
      </c>
      <c r="B248" s="170" t="s">
        <v>383</v>
      </c>
      <c r="C248" s="176" t="s">
        <v>905</v>
      </c>
      <c r="D248" s="220" t="s">
        <v>33</v>
      </c>
      <c r="E248" s="436">
        <f>C242</f>
        <v>745</v>
      </c>
      <c r="F248" s="592"/>
      <c r="G248" s="871">
        <v>0</v>
      </c>
      <c r="H248" s="872">
        <v>0</v>
      </c>
      <c r="I248" s="569">
        <f t="shared" si="65"/>
        <v>0</v>
      </c>
      <c r="J248" s="491" t="s">
        <v>34</v>
      </c>
      <c r="K248" s="352"/>
    </row>
    <row r="249" spans="1:16" s="52" customFormat="1" ht="41.45" customHeight="1" outlineLevel="1">
      <c r="A249" s="181" t="s">
        <v>384</v>
      </c>
      <c r="B249" s="173" t="s">
        <v>385</v>
      </c>
      <c r="C249" s="176" t="s">
        <v>905</v>
      </c>
      <c r="D249" s="220" t="s">
        <v>82</v>
      </c>
      <c r="E249" s="436">
        <f>C242</f>
        <v>745</v>
      </c>
      <c r="F249" s="871">
        <v>0</v>
      </c>
      <c r="G249" s="592"/>
      <c r="H249" s="872">
        <v>0</v>
      </c>
      <c r="I249" s="569">
        <f t="shared" si="65"/>
        <v>0</v>
      </c>
      <c r="J249" s="491" t="s">
        <v>34</v>
      </c>
      <c r="K249" s="352"/>
    </row>
    <row r="250" spans="1:16" s="52" customFormat="1" ht="30.75" customHeight="1">
      <c r="A250" s="515" t="s">
        <v>386</v>
      </c>
      <c r="B250" s="531" t="s">
        <v>904</v>
      </c>
      <c r="C250" s="534">
        <v>100</v>
      </c>
      <c r="D250" s="229" t="s">
        <v>387</v>
      </c>
      <c r="E250" s="559"/>
      <c r="F250" s="569"/>
      <c r="G250" s="569"/>
      <c r="H250" s="613"/>
      <c r="I250" s="591">
        <f>SUM(I251:I258)</f>
        <v>0</v>
      </c>
      <c r="J250" s="491"/>
      <c r="K250" s="352"/>
    </row>
    <row r="251" spans="1:16" s="52" customFormat="1" ht="32.450000000000003" customHeight="1" outlineLevel="1">
      <c r="A251" s="181" t="s">
        <v>388</v>
      </c>
      <c r="B251" s="173" t="s">
        <v>366</v>
      </c>
      <c r="C251" s="176" t="s">
        <v>903</v>
      </c>
      <c r="D251" s="220" t="s">
        <v>52</v>
      </c>
      <c r="E251" s="436">
        <f>C250*0.15</f>
        <v>15</v>
      </c>
      <c r="F251" s="871">
        <v>0</v>
      </c>
      <c r="G251" s="871">
        <v>0</v>
      </c>
      <c r="H251" s="872">
        <v>0</v>
      </c>
      <c r="I251" s="590">
        <f>SUM(F251:H251)*E251</f>
        <v>0</v>
      </c>
      <c r="J251" s="491" t="s">
        <v>34</v>
      </c>
      <c r="K251" s="352"/>
    </row>
    <row r="252" spans="1:16" s="52" customFormat="1" ht="45" customHeight="1" outlineLevel="1">
      <c r="A252" s="181" t="s">
        <v>389</v>
      </c>
      <c r="B252" s="173" t="s">
        <v>375</v>
      </c>
      <c r="C252" s="176" t="s">
        <v>903</v>
      </c>
      <c r="D252" s="220" t="s">
        <v>52</v>
      </c>
      <c r="E252" s="436">
        <f>C250*0.15</f>
        <v>15</v>
      </c>
      <c r="F252" s="871">
        <v>0</v>
      </c>
      <c r="G252" s="871">
        <v>0</v>
      </c>
      <c r="H252" s="872">
        <v>0</v>
      </c>
      <c r="I252" s="590">
        <f t="shared" ref="I252:I257" si="66">SUM(F252:H252)*E252</f>
        <v>0</v>
      </c>
      <c r="J252" s="491" t="s">
        <v>34</v>
      </c>
      <c r="K252" s="352"/>
    </row>
    <row r="253" spans="1:16" s="52" customFormat="1" ht="33.950000000000003" customHeight="1" outlineLevel="1">
      <c r="A253" s="181" t="s">
        <v>390</v>
      </c>
      <c r="B253" s="173" t="s">
        <v>377</v>
      </c>
      <c r="C253" s="176" t="s">
        <v>903</v>
      </c>
      <c r="D253" s="220" t="s">
        <v>33</v>
      </c>
      <c r="E253" s="436">
        <f>C250</f>
        <v>100</v>
      </c>
      <c r="F253" s="871">
        <v>0</v>
      </c>
      <c r="G253" s="871">
        <v>0</v>
      </c>
      <c r="H253" s="872">
        <v>0</v>
      </c>
      <c r="I253" s="590">
        <f t="shared" si="66"/>
        <v>0</v>
      </c>
      <c r="J253" s="491" t="s">
        <v>34</v>
      </c>
      <c r="K253" s="352"/>
    </row>
    <row r="254" spans="1:16" s="52" customFormat="1" ht="45" customHeight="1" outlineLevel="1">
      <c r="A254" s="181" t="s">
        <v>391</v>
      </c>
      <c r="B254" s="173" t="s">
        <v>392</v>
      </c>
      <c r="C254" s="176" t="s">
        <v>903</v>
      </c>
      <c r="D254" s="220" t="s">
        <v>33</v>
      </c>
      <c r="E254" s="436">
        <f>C250</f>
        <v>100</v>
      </c>
      <c r="F254" s="871">
        <v>0</v>
      </c>
      <c r="G254" s="871">
        <v>0</v>
      </c>
      <c r="H254" s="872">
        <v>0</v>
      </c>
      <c r="I254" s="590">
        <f t="shared" si="66"/>
        <v>0</v>
      </c>
      <c r="J254" s="491" t="s">
        <v>34</v>
      </c>
      <c r="K254" s="352"/>
    </row>
    <row r="255" spans="1:16" s="52" customFormat="1" ht="33.6" customHeight="1" outlineLevel="1">
      <c r="A255" s="181" t="s">
        <v>393</v>
      </c>
      <c r="B255" s="173" t="s">
        <v>394</v>
      </c>
      <c r="C255" s="176" t="s">
        <v>903</v>
      </c>
      <c r="D255" s="220" t="s">
        <v>52</v>
      </c>
      <c r="E255" s="436">
        <f>C250*0.2</f>
        <v>20</v>
      </c>
      <c r="F255" s="871">
        <v>0</v>
      </c>
      <c r="G255" s="871">
        <v>0</v>
      </c>
      <c r="H255" s="872">
        <v>0</v>
      </c>
      <c r="I255" s="590">
        <f t="shared" si="66"/>
        <v>0</v>
      </c>
      <c r="J255" s="491" t="s">
        <v>34</v>
      </c>
      <c r="K255" s="352"/>
    </row>
    <row r="256" spans="1:16" s="52" customFormat="1" ht="44.1" customHeight="1" outlineLevel="1">
      <c r="A256" s="181" t="s">
        <v>395</v>
      </c>
      <c r="B256" s="173" t="s">
        <v>396</v>
      </c>
      <c r="C256" s="176" t="s">
        <v>903</v>
      </c>
      <c r="D256" s="220" t="s">
        <v>52</v>
      </c>
      <c r="E256" s="436">
        <f>C250*0.04</f>
        <v>4</v>
      </c>
      <c r="F256" s="592"/>
      <c r="G256" s="871">
        <v>0</v>
      </c>
      <c r="H256" s="872">
        <v>0</v>
      </c>
      <c r="I256" s="590">
        <f t="shared" si="66"/>
        <v>0</v>
      </c>
      <c r="J256" s="491" t="s">
        <v>34</v>
      </c>
      <c r="K256" s="352"/>
    </row>
    <row r="257" spans="1:16" s="52" customFormat="1" ht="48" customHeight="1" outlineLevel="1">
      <c r="A257" s="181" t="s">
        <v>397</v>
      </c>
      <c r="B257" s="170" t="s">
        <v>398</v>
      </c>
      <c r="C257" s="176" t="s">
        <v>903</v>
      </c>
      <c r="D257" s="220" t="s">
        <v>82</v>
      </c>
      <c r="E257" s="436">
        <f>C250</f>
        <v>100</v>
      </c>
      <c r="F257" s="592"/>
      <c r="G257" s="871">
        <v>0</v>
      </c>
      <c r="H257" s="872">
        <v>0</v>
      </c>
      <c r="I257" s="590">
        <f t="shared" si="66"/>
        <v>0</v>
      </c>
      <c r="J257" s="491" t="s">
        <v>34</v>
      </c>
      <c r="K257" s="352"/>
    </row>
    <row r="258" spans="1:16" s="52" customFormat="1" ht="43.5" customHeight="1" outlineLevel="1">
      <c r="A258" s="181" t="s">
        <v>399</v>
      </c>
      <c r="B258" s="173" t="s">
        <v>400</v>
      </c>
      <c r="C258" s="176" t="s">
        <v>903</v>
      </c>
      <c r="D258" s="220" t="s">
        <v>82</v>
      </c>
      <c r="E258" s="436">
        <f>C250</f>
        <v>100</v>
      </c>
      <c r="F258" s="871">
        <v>0</v>
      </c>
      <c r="G258" s="592"/>
      <c r="H258" s="872">
        <v>0</v>
      </c>
      <c r="I258" s="590">
        <f>SUM(F258:H258)*E258</f>
        <v>0</v>
      </c>
      <c r="J258" s="491" t="s">
        <v>34</v>
      </c>
      <c r="K258" s="352"/>
    </row>
    <row r="259" spans="1:16" s="52" customFormat="1" ht="42" customHeight="1">
      <c r="A259" s="515" t="s">
        <v>401</v>
      </c>
      <c r="B259" s="531" t="s">
        <v>901</v>
      </c>
      <c r="C259" s="534">
        <f>250+170</f>
        <v>420</v>
      </c>
      <c r="D259" s="229" t="s">
        <v>387</v>
      </c>
      <c r="E259" s="559"/>
      <c r="F259" s="569"/>
      <c r="G259" s="569"/>
      <c r="H259" s="613"/>
      <c r="I259" s="591">
        <f>SUM(I260:I264)</f>
        <v>0</v>
      </c>
      <c r="J259" s="491"/>
      <c r="K259" s="352"/>
    </row>
    <row r="260" spans="1:16" s="52" customFormat="1" ht="29.45" customHeight="1" outlineLevel="1">
      <c r="A260" s="181" t="s">
        <v>402</v>
      </c>
      <c r="B260" s="173" t="s">
        <v>403</v>
      </c>
      <c r="C260" s="176" t="s">
        <v>900</v>
      </c>
      <c r="D260" s="220" t="s">
        <v>52</v>
      </c>
      <c r="E260" s="436">
        <f>C259*0.1</f>
        <v>42</v>
      </c>
      <c r="F260" s="871">
        <v>0</v>
      </c>
      <c r="G260" s="871">
        <v>0</v>
      </c>
      <c r="H260" s="872">
        <v>0</v>
      </c>
      <c r="I260" s="590">
        <f>SUM(F260:H260)*E260</f>
        <v>0</v>
      </c>
      <c r="J260" s="491" t="s">
        <v>34</v>
      </c>
      <c r="K260" s="352"/>
    </row>
    <row r="261" spans="1:16" s="52" customFormat="1" ht="29.45" customHeight="1" outlineLevel="1">
      <c r="A261" s="181" t="s">
        <v>404</v>
      </c>
      <c r="B261" s="173" t="s">
        <v>405</v>
      </c>
      <c r="C261" s="176" t="s">
        <v>900</v>
      </c>
      <c r="D261" s="220" t="s">
        <v>52</v>
      </c>
      <c r="E261" s="436">
        <f>C259*0.12</f>
        <v>50.4</v>
      </c>
      <c r="F261" s="871">
        <v>0</v>
      </c>
      <c r="G261" s="871">
        <v>0</v>
      </c>
      <c r="H261" s="872">
        <v>0</v>
      </c>
      <c r="I261" s="590">
        <f>SUM(F261:H261)*E261</f>
        <v>0</v>
      </c>
      <c r="J261" s="491" t="s">
        <v>34</v>
      </c>
      <c r="K261" s="352"/>
    </row>
    <row r="262" spans="1:16" s="52" customFormat="1" ht="45" customHeight="1" outlineLevel="1">
      <c r="A262" s="181" t="s">
        <v>406</v>
      </c>
      <c r="B262" s="173" t="s">
        <v>407</v>
      </c>
      <c r="C262" s="176" t="s">
        <v>900</v>
      </c>
      <c r="D262" s="220" t="s">
        <v>52</v>
      </c>
      <c r="E262" s="436">
        <f>C259*0.04</f>
        <v>16.8</v>
      </c>
      <c r="F262" s="592"/>
      <c r="G262" s="871">
        <v>0</v>
      </c>
      <c r="H262" s="872">
        <v>0</v>
      </c>
      <c r="I262" s="590">
        <f>SUM(F262:H262)*E262</f>
        <v>0</v>
      </c>
      <c r="J262" s="491" t="s">
        <v>34</v>
      </c>
      <c r="K262" s="352"/>
    </row>
    <row r="263" spans="1:16" s="52" customFormat="1" ht="45" customHeight="1" outlineLevel="1">
      <c r="A263" s="181" t="s">
        <v>408</v>
      </c>
      <c r="B263" s="170" t="s">
        <v>409</v>
      </c>
      <c r="C263" s="176" t="s">
        <v>900</v>
      </c>
      <c r="D263" s="220" t="s">
        <v>33</v>
      </c>
      <c r="E263" s="436">
        <f>C259</f>
        <v>420</v>
      </c>
      <c r="F263" s="592"/>
      <c r="G263" s="871">
        <v>0</v>
      </c>
      <c r="H263" s="872">
        <v>0</v>
      </c>
      <c r="I263" s="569">
        <f>SUM(F263:H263)*E263</f>
        <v>0</v>
      </c>
      <c r="J263" s="491" t="s">
        <v>34</v>
      </c>
      <c r="K263" s="352"/>
    </row>
    <row r="264" spans="1:16" s="52" customFormat="1" ht="44.25" customHeight="1" outlineLevel="1">
      <c r="A264" s="181" t="s">
        <v>410</v>
      </c>
      <c r="B264" s="173" t="s">
        <v>385</v>
      </c>
      <c r="C264" s="176" t="s">
        <v>900</v>
      </c>
      <c r="D264" s="220" t="s">
        <v>33</v>
      </c>
      <c r="E264" s="436">
        <f>C259</f>
        <v>420</v>
      </c>
      <c r="F264" s="871">
        <v>0</v>
      </c>
      <c r="G264" s="592"/>
      <c r="H264" s="872">
        <v>0</v>
      </c>
      <c r="I264" s="590">
        <f>SUM(F264:H264)*E264</f>
        <v>0</v>
      </c>
      <c r="J264" s="491" t="s">
        <v>34</v>
      </c>
      <c r="K264" s="352"/>
    </row>
    <row r="265" spans="1:16" s="52" customFormat="1" ht="27.6" customHeight="1">
      <c r="A265" s="515" t="s">
        <v>411</v>
      </c>
      <c r="B265" s="627" t="s">
        <v>412</v>
      </c>
      <c r="C265" s="628"/>
      <c r="D265" s="629"/>
      <c r="E265" s="559"/>
      <c r="F265" s="569"/>
      <c r="G265" s="569"/>
      <c r="H265" s="613"/>
      <c r="I265" s="591">
        <f>SUM(I266:I270)</f>
        <v>0</v>
      </c>
      <c r="J265" s="491"/>
      <c r="K265" s="352"/>
    </row>
    <row r="266" spans="1:16" s="52" customFormat="1" ht="45.6" customHeight="1" outlineLevel="1" thickBot="1">
      <c r="A266" s="181" t="s">
        <v>413</v>
      </c>
      <c r="B266" s="173" t="s">
        <v>414</v>
      </c>
      <c r="C266" s="176" t="s">
        <v>896</v>
      </c>
      <c r="D266" s="220" t="s">
        <v>63</v>
      </c>
      <c r="E266" s="436">
        <v>8</v>
      </c>
      <c r="F266" s="871">
        <v>0</v>
      </c>
      <c r="G266" s="871">
        <v>0</v>
      </c>
      <c r="H266" s="872">
        <v>0</v>
      </c>
      <c r="I266" s="590">
        <f>SUM(F266:H266)*E266</f>
        <v>0</v>
      </c>
      <c r="J266" s="491" t="s">
        <v>34</v>
      </c>
      <c r="K266" s="352"/>
    </row>
    <row r="267" spans="1:16" s="52" customFormat="1" ht="30" customHeight="1" outlineLevel="1">
      <c r="A267" s="825" t="s">
        <v>415</v>
      </c>
      <c r="B267" s="827" t="s">
        <v>1095</v>
      </c>
      <c r="C267" s="828" t="s">
        <v>1028</v>
      </c>
      <c r="D267" s="829" t="s">
        <v>37</v>
      </c>
      <c r="E267" s="830">
        <v>290</v>
      </c>
      <c r="F267" s="883">
        <v>0</v>
      </c>
      <c r="G267" s="817">
        <f>SUM(P267:P269)/E267</f>
        <v>0</v>
      </c>
      <c r="H267" s="884">
        <v>0</v>
      </c>
      <c r="I267" s="824">
        <f>SUM(F267:H267)*E267</f>
        <v>0</v>
      </c>
      <c r="J267" s="743" t="s">
        <v>34</v>
      </c>
      <c r="K267" s="745"/>
      <c r="L267" s="549" t="s">
        <v>1100</v>
      </c>
      <c r="M267" s="467" t="s">
        <v>85</v>
      </c>
      <c r="N267" s="519">
        <v>290</v>
      </c>
      <c r="O267" s="880">
        <v>0</v>
      </c>
      <c r="P267" s="520">
        <f>O267*N267</f>
        <v>0</v>
      </c>
    </row>
    <row r="268" spans="1:16" s="52" customFormat="1" ht="18.600000000000001" customHeight="1" outlineLevel="1">
      <c r="A268" s="674"/>
      <c r="B268" s="704"/>
      <c r="C268" s="707"/>
      <c r="D268" s="679"/>
      <c r="E268" s="813"/>
      <c r="F268" s="875"/>
      <c r="G268" s="823"/>
      <c r="H268" s="878"/>
      <c r="I268" s="671"/>
      <c r="J268" s="802"/>
      <c r="K268" s="745"/>
      <c r="L268" s="550" t="s">
        <v>1101</v>
      </c>
      <c r="M268" s="548" t="s">
        <v>52</v>
      </c>
      <c r="N268" s="536">
        <v>40.6</v>
      </c>
      <c r="O268" s="881">
        <v>0</v>
      </c>
      <c r="P268" s="523">
        <f t="shared" ref="P268:P269" si="67">O268*N268</f>
        <v>0</v>
      </c>
    </row>
    <row r="269" spans="1:16" s="52" customFormat="1" ht="24" customHeight="1" outlineLevel="1" thickBot="1">
      <c r="A269" s="805"/>
      <c r="B269" s="766"/>
      <c r="C269" s="768"/>
      <c r="D269" s="770"/>
      <c r="E269" s="772"/>
      <c r="F269" s="876"/>
      <c r="G269" s="819"/>
      <c r="H269" s="879"/>
      <c r="I269" s="718"/>
      <c r="J269" s="744"/>
      <c r="K269" s="745"/>
      <c r="L269" s="551" t="s">
        <v>1097</v>
      </c>
      <c r="M269" s="555" t="s">
        <v>52</v>
      </c>
      <c r="N269" s="553">
        <v>14.21</v>
      </c>
      <c r="O269" s="882">
        <v>0</v>
      </c>
      <c r="P269" s="526">
        <f t="shared" si="67"/>
        <v>0</v>
      </c>
    </row>
    <row r="270" spans="1:16" s="52" customFormat="1" ht="44.45" customHeight="1" outlineLevel="1">
      <c r="A270" s="181" t="s">
        <v>416</v>
      </c>
      <c r="B270" s="170" t="s">
        <v>417</v>
      </c>
      <c r="C270" s="176" t="s">
        <v>1029</v>
      </c>
      <c r="D270" s="220" t="s">
        <v>37</v>
      </c>
      <c r="E270" s="436">
        <v>130</v>
      </c>
      <c r="F270" s="871">
        <v>0</v>
      </c>
      <c r="G270" s="871">
        <v>0</v>
      </c>
      <c r="H270" s="872">
        <v>0</v>
      </c>
      <c r="I270" s="590">
        <f>SUM(F270:H270)*E270</f>
        <v>0</v>
      </c>
      <c r="J270" s="491" t="s">
        <v>34</v>
      </c>
      <c r="K270" s="352"/>
    </row>
    <row r="271" spans="1:16" s="52" customFormat="1" ht="32.1" customHeight="1" thickBot="1">
      <c r="A271" s="515" t="s">
        <v>418</v>
      </c>
      <c r="B271" s="624" t="s">
        <v>419</v>
      </c>
      <c r="C271" s="625"/>
      <c r="D271" s="626"/>
      <c r="E271" s="559"/>
      <c r="F271" s="569"/>
      <c r="G271" s="569"/>
      <c r="H271" s="613"/>
      <c r="I271" s="591">
        <f>SUM(I272:I281)</f>
        <v>0</v>
      </c>
      <c r="J271" s="491"/>
      <c r="K271" s="352"/>
    </row>
    <row r="272" spans="1:16" s="52" customFormat="1" ht="33.6" customHeight="1" outlineLevel="1">
      <c r="A272" s="825" t="s">
        <v>420</v>
      </c>
      <c r="B272" s="814" t="s">
        <v>421</v>
      </c>
      <c r="C272" s="814" t="s">
        <v>1096</v>
      </c>
      <c r="D272" s="815" t="s">
        <v>37</v>
      </c>
      <c r="E272" s="816">
        <v>42</v>
      </c>
      <c r="F272" s="874">
        <v>0</v>
      </c>
      <c r="G272" s="826">
        <f>SUM(P272:P274)/E272</f>
        <v>0</v>
      </c>
      <c r="H272" s="877">
        <v>0</v>
      </c>
      <c r="I272" s="820">
        <f>SUM(F272:H272)*E272</f>
        <v>0</v>
      </c>
      <c r="J272" s="743" t="s">
        <v>34</v>
      </c>
      <c r="K272" s="491"/>
      <c r="L272" s="549" t="s">
        <v>1099</v>
      </c>
      <c r="M272" s="467" t="s">
        <v>85</v>
      </c>
      <c r="N272" s="519">
        <v>40</v>
      </c>
      <c r="O272" s="880">
        <v>0</v>
      </c>
      <c r="P272" s="520">
        <f>O272*N272</f>
        <v>0</v>
      </c>
    </row>
    <row r="273" spans="1:16" s="52" customFormat="1" ht="26.45" customHeight="1" outlineLevel="1">
      <c r="A273" s="674"/>
      <c r="B273" s="704"/>
      <c r="C273" s="704"/>
      <c r="D273" s="679"/>
      <c r="E273" s="813"/>
      <c r="F273" s="875"/>
      <c r="G273" s="823"/>
      <c r="H273" s="878"/>
      <c r="I273" s="671"/>
      <c r="J273" s="802"/>
      <c r="K273" s="491"/>
      <c r="L273" s="550" t="s">
        <v>1098</v>
      </c>
      <c r="M273" s="548" t="s">
        <v>63</v>
      </c>
      <c r="N273" s="536">
        <v>2</v>
      </c>
      <c r="O273" s="881">
        <v>0</v>
      </c>
      <c r="P273" s="523">
        <f t="shared" ref="P273:P274" si="68">O273*N273</f>
        <v>0</v>
      </c>
    </row>
    <row r="274" spans="1:16" s="52" customFormat="1" ht="30.6" customHeight="1" outlineLevel="1" thickBot="1">
      <c r="A274" s="805"/>
      <c r="B274" s="766"/>
      <c r="C274" s="766"/>
      <c r="D274" s="770"/>
      <c r="E274" s="772"/>
      <c r="F274" s="876"/>
      <c r="G274" s="819"/>
      <c r="H274" s="879"/>
      <c r="I274" s="718"/>
      <c r="J274" s="744"/>
      <c r="K274" s="491"/>
      <c r="L274" s="551" t="s">
        <v>1097</v>
      </c>
      <c r="M274" s="555" t="s">
        <v>52</v>
      </c>
      <c r="N274" s="553">
        <v>12.6</v>
      </c>
      <c r="O274" s="882">
        <v>0</v>
      </c>
      <c r="P274" s="526">
        <f t="shared" si="68"/>
        <v>0</v>
      </c>
    </row>
    <row r="275" spans="1:16" s="52" customFormat="1" ht="138.75" customHeight="1" outlineLevel="1">
      <c r="A275" s="181" t="s">
        <v>1120</v>
      </c>
      <c r="B275" s="173" t="s">
        <v>422</v>
      </c>
      <c r="C275" s="176" t="s">
        <v>897</v>
      </c>
      <c r="D275" s="177" t="s">
        <v>37</v>
      </c>
      <c r="E275" s="436">
        <v>39</v>
      </c>
      <c r="F275" s="871">
        <v>0</v>
      </c>
      <c r="G275" s="871">
        <v>0</v>
      </c>
      <c r="H275" s="872">
        <v>0</v>
      </c>
      <c r="I275" s="569">
        <f t="shared" ref="I275" si="69">SUM(F275:H275)*E275</f>
        <v>0</v>
      </c>
      <c r="J275" s="499" t="s">
        <v>34</v>
      </c>
      <c r="K275" s="447"/>
    </row>
    <row r="276" spans="1:16" s="52" customFormat="1" ht="60" customHeight="1" outlineLevel="1">
      <c r="A276" s="181" t="s">
        <v>423</v>
      </c>
      <c r="B276" s="173" t="s">
        <v>424</v>
      </c>
      <c r="C276" s="176" t="s">
        <v>898</v>
      </c>
      <c r="D276" s="220" t="s">
        <v>63</v>
      </c>
      <c r="E276" s="436">
        <v>1</v>
      </c>
      <c r="F276" s="871">
        <v>0</v>
      </c>
      <c r="G276" s="871">
        <v>0</v>
      </c>
      <c r="H276" s="872">
        <v>0</v>
      </c>
      <c r="I276" s="590">
        <f t="shared" ref="I276:I280" si="70">SUM(F276:H276)*E276</f>
        <v>0</v>
      </c>
      <c r="J276" s="491" t="s">
        <v>34</v>
      </c>
      <c r="K276" s="352"/>
    </row>
    <row r="277" spans="1:16" s="52" customFormat="1" ht="87.6" customHeight="1" outlineLevel="1">
      <c r="A277" s="181" t="s">
        <v>425</v>
      </c>
      <c r="B277" s="173" t="s">
        <v>426</v>
      </c>
      <c r="C277" s="173" t="s">
        <v>899</v>
      </c>
      <c r="D277" s="220" t="s">
        <v>37</v>
      </c>
      <c r="E277" s="436">
        <v>130</v>
      </c>
      <c r="F277" s="871">
        <v>0</v>
      </c>
      <c r="G277" s="871">
        <v>0</v>
      </c>
      <c r="H277" s="873">
        <v>0</v>
      </c>
      <c r="I277" s="569">
        <f t="shared" si="70"/>
        <v>0</v>
      </c>
      <c r="J277" s="491" t="s">
        <v>34</v>
      </c>
      <c r="K277" s="352"/>
    </row>
    <row r="278" spans="1:16" s="52" customFormat="1" ht="99.6" customHeight="1" outlineLevel="1">
      <c r="A278" s="181" t="s">
        <v>427</v>
      </c>
      <c r="B278" s="173" t="s">
        <v>895</v>
      </c>
      <c r="C278" s="178" t="s">
        <v>428</v>
      </c>
      <c r="D278" s="220" t="s">
        <v>63</v>
      </c>
      <c r="E278" s="436">
        <v>4</v>
      </c>
      <c r="F278" s="871">
        <v>0</v>
      </c>
      <c r="G278" s="871">
        <v>0</v>
      </c>
      <c r="H278" s="872">
        <v>0</v>
      </c>
      <c r="I278" s="590">
        <f t="shared" si="70"/>
        <v>0</v>
      </c>
      <c r="J278" s="491" t="s">
        <v>34</v>
      </c>
      <c r="K278" s="352"/>
    </row>
    <row r="279" spans="1:16" s="52" customFormat="1" ht="73.349999999999994" customHeight="1" outlineLevel="1">
      <c r="A279" s="181" t="s">
        <v>429</v>
      </c>
      <c r="B279" s="173" t="s">
        <v>430</v>
      </c>
      <c r="C279" s="178" t="s">
        <v>431</v>
      </c>
      <c r="D279" s="220" t="s">
        <v>63</v>
      </c>
      <c r="E279" s="436">
        <v>1</v>
      </c>
      <c r="F279" s="871">
        <v>0</v>
      </c>
      <c r="G279" s="871">
        <v>0</v>
      </c>
      <c r="H279" s="871">
        <v>0</v>
      </c>
      <c r="I279" s="590">
        <f t="shared" si="70"/>
        <v>0</v>
      </c>
      <c r="J279" s="491" t="s">
        <v>34</v>
      </c>
      <c r="K279" s="352"/>
    </row>
    <row r="280" spans="1:16" s="52" customFormat="1" ht="60" customHeight="1" outlineLevel="1">
      <c r="A280" s="181" t="s">
        <v>432</v>
      </c>
      <c r="B280" s="173" t="s">
        <v>433</v>
      </c>
      <c r="C280" s="178" t="s">
        <v>434</v>
      </c>
      <c r="D280" s="220" t="s">
        <v>52</v>
      </c>
      <c r="E280" s="570">
        <v>7.8</v>
      </c>
      <c r="F280" s="871">
        <v>0</v>
      </c>
      <c r="G280" s="871">
        <v>0</v>
      </c>
      <c r="H280" s="871">
        <v>0</v>
      </c>
      <c r="I280" s="590">
        <f t="shared" si="70"/>
        <v>0</v>
      </c>
      <c r="J280" s="491" t="s">
        <v>34</v>
      </c>
      <c r="K280" s="352"/>
    </row>
    <row r="281" spans="1:16" s="52" customFormat="1" ht="59.45" customHeight="1" outlineLevel="1">
      <c r="A281" s="181" t="s">
        <v>435</v>
      </c>
      <c r="B281" s="173" t="s">
        <v>436</v>
      </c>
      <c r="C281" s="178" t="s">
        <v>1027</v>
      </c>
      <c r="D281" s="220" t="s">
        <v>52</v>
      </c>
      <c r="E281" s="570">
        <f>7.36+0.9</f>
        <v>8.26</v>
      </c>
      <c r="F281" s="871">
        <v>0</v>
      </c>
      <c r="G281" s="871">
        <v>0</v>
      </c>
      <c r="H281" s="871">
        <v>0</v>
      </c>
      <c r="I281" s="590">
        <f>SUM(F281:H281)*E281</f>
        <v>0</v>
      </c>
      <c r="J281" s="491" t="s">
        <v>34</v>
      </c>
      <c r="K281" s="352"/>
    </row>
    <row r="282" spans="1:16" s="52" customFormat="1" ht="29.45" customHeight="1">
      <c r="A282" s="515" t="s">
        <v>437</v>
      </c>
      <c r="B282" s="624" t="s">
        <v>438</v>
      </c>
      <c r="C282" s="625"/>
      <c r="D282" s="626"/>
      <c r="E282" s="559"/>
      <c r="F282" s="569"/>
      <c r="G282" s="569"/>
      <c r="H282" s="569"/>
      <c r="I282" s="591">
        <f>SUM(I283:I283)</f>
        <v>0</v>
      </c>
      <c r="J282" s="491"/>
      <c r="K282" s="352"/>
    </row>
    <row r="283" spans="1:16" s="52" customFormat="1" ht="47.45" customHeight="1" outlineLevel="1">
      <c r="A283" s="181" t="s">
        <v>439</v>
      </c>
      <c r="B283" s="173" t="s">
        <v>440</v>
      </c>
      <c r="C283" s="176" t="s">
        <v>911</v>
      </c>
      <c r="D283" s="220" t="s">
        <v>33</v>
      </c>
      <c r="E283" s="436">
        <v>350</v>
      </c>
      <c r="F283" s="871">
        <v>0</v>
      </c>
      <c r="G283" s="871">
        <v>0</v>
      </c>
      <c r="H283" s="871">
        <v>0</v>
      </c>
      <c r="I283" s="590">
        <f>SUM(F283:H283)*E283</f>
        <v>0</v>
      </c>
      <c r="J283" s="491" t="s">
        <v>34</v>
      </c>
      <c r="K283" s="352"/>
    </row>
    <row r="284" spans="1:16" s="52" customFormat="1" ht="23.1" customHeight="1">
      <c r="A284" s="535" t="s">
        <v>441</v>
      </c>
      <c r="B284" s="633" t="s">
        <v>442</v>
      </c>
      <c r="C284" s="634"/>
      <c r="D284" s="635"/>
      <c r="E284" s="559"/>
      <c r="F284" s="569"/>
      <c r="G284" s="569"/>
      <c r="H284" s="569"/>
      <c r="I284" s="598"/>
      <c r="J284" s="491"/>
      <c r="K284" s="352"/>
    </row>
    <row r="285" spans="1:16" s="52" customFormat="1" ht="33.6" customHeight="1">
      <c r="A285" s="515" t="s">
        <v>443</v>
      </c>
      <c r="B285" s="624" t="s">
        <v>444</v>
      </c>
      <c r="C285" s="625"/>
      <c r="D285" s="626"/>
      <c r="E285" s="559"/>
      <c r="F285" s="569"/>
      <c r="G285" s="569"/>
      <c r="H285" s="569"/>
      <c r="I285" s="591">
        <f>SUM(I286:I293)</f>
        <v>217000</v>
      </c>
      <c r="J285" s="491"/>
      <c r="K285" s="352"/>
    </row>
    <row r="286" spans="1:16" s="52" customFormat="1" ht="39.6" customHeight="1" outlineLevel="1">
      <c r="A286" s="181" t="s">
        <v>445</v>
      </c>
      <c r="B286" s="170" t="s">
        <v>446</v>
      </c>
      <c r="C286" s="175" t="s">
        <v>447</v>
      </c>
      <c r="D286" s="222" t="s">
        <v>448</v>
      </c>
      <c r="E286" s="436">
        <v>2</v>
      </c>
      <c r="F286" s="530">
        <v>5000</v>
      </c>
      <c r="G286" s="530">
        <v>25000</v>
      </c>
      <c r="H286" s="530">
        <v>0</v>
      </c>
      <c r="I286" s="615">
        <f>SUM(F286:H286)*E286</f>
        <v>60000</v>
      </c>
      <c r="J286" s="491"/>
      <c r="K286" s="352"/>
    </row>
    <row r="287" spans="1:16" s="52" customFormat="1" ht="68.099999999999994" customHeight="1" outlineLevel="1">
      <c r="A287" s="181" t="s">
        <v>449</v>
      </c>
      <c r="B287" s="170" t="s">
        <v>450</v>
      </c>
      <c r="C287" s="175" t="s">
        <v>451</v>
      </c>
      <c r="D287" s="222" t="s">
        <v>448</v>
      </c>
      <c r="E287" s="436">
        <v>1</v>
      </c>
      <c r="F287" s="871">
        <v>0</v>
      </c>
      <c r="G287" s="871">
        <f>CАНТЕХНІКА!D58</f>
        <v>0</v>
      </c>
      <c r="H287" s="871">
        <v>0</v>
      </c>
      <c r="I287" s="590">
        <f>SUM(F287:H287)*E287</f>
        <v>0</v>
      </c>
      <c r="J287" s="491" t="s">
        <v>34</v>
      </c>
      <c r="K287" s="352" t="s">
        <v>276</v>
      </c>
    </row>
    <row r="288" spans="1:16" s="52" customFormat="1" ht="44.45" customHeight="1" outlineLevel="1">
      <c r="A288" s="181" t="s">
        <v>452</v>
      </c>
      <c r="B288" s="170" t="s">
        <v>453</v>
      </c>
      <c r="C288" s="175" t="s">
        <v>454</v>
      </c>
      <c r="D288" s="222" t="s">
        <v>448</v>
      </c>
      <c r="E288" s="436">
        <v>1</v>
      </c>
      <c r="F288" s="871">
        <v>0</v>
      </c>
      <c r="G288" s="871">
        <f>Світлодіоди!E20*1.05</f>
        <v>0</v>
      </c>
      <c r="H288" s="871">
        <v>0</v>
      </c>
      <c r="I288" s="590">
        <f t="shared" ref="I288" si="71">SUM(F288:H288)*E288</f>
        <v>0</v>
      </c>
      <c r="J288" s="491" t="s">
        <v>34</v>
      </c>
      <c r="K288" s="352" t="s">
        <v>276</v>
      </c>
    </row>
    <row r="289" spans="1:14" s="52" customFormat="1" ht="41.25" customHeight="1" outlineLevel="1">
      <c r="A289" s="181" t="s">
        <v>455</v>
      </c>
      <c r="B289" s="170" t="s">
        <v>458</v>
      </c>
      <c r="C289" s="175" t="s">
        <v>459</v>
      </c>
      <c r="D289" s="222" t="s">
        <v>29</v>
      </c>
      <c r="E289" s="436">
        <v>1</v>
      </c>
      <c r="F289" s="871">
        <v>0</v>
      </c>
      <c r="G289" s="871">
        <v>0</v>
      </c>
      <c r="H289" s="871">
        <v>0</v>
      </c>
      <c r="I289" s="569">
        <f>SUM(F289:H289)*E289</f>
        <v>0</v>
      </c>
      <c r="J289" s="491" t="s">
        <v>34</v>
      </c>
      <c r="K289" s="352" t="s">
        <v>276</v>
      </c>
    </row>
    <row r="290" spans="1:14" s="52" customFormat="1" ht="60" customHeight="1" outlineLevel="1">
      <c r="A290" s="181" t="s">
        <v>456</v>
      </c>
      <c r="B290" s="170" t="s">
        <v>462</v>
      </c>
      <c r="C290" s="175" t="s">
        <v>463</v>
      </c>
      <c r="D290" s="222" t="s">
        <v>448</v>
      </c>
      <c r="E290" s="436">
        <v>5</v>
      </c>
      <c r="F290" s="530">
        <v>0</v>
      </c>
      <c r="G290" s="530">
        <v>10000</v>
      </c>
      <c r="H290" s="530">
        <v>0</v>
      </c>
      <c r="I290" s="615">
        <f t="shared" ref="I290:I293" si="72">SUM(F290:H290)*E290</f>
        <v>50000</v>
      </c>
      <c r="J290" s="491" t="s">
        <v>34</v>
      </c>
      <c r="K290" s="352"/>
    </row>
    <row r="291" spans="1:14" s="52" customFormat="1" ht="153" outlineLevel="1">
      <c r="A291" s="181" t="s">
        <v>457</v>
      </c>
      <c r="B291" s="170" t="s">
        <v>464</v>
      </c>
      <c r="C291" s="175" t="s">
        <v>465</v>
      </c>
      <c r="D291" s="222" t="s">
        <v>448</v>
      </c>
      <c r="E291" s="436">
        <v>1</v>
      </c>
      <c r="F291" s="871">
        <v>0</v>
      </c>
      <c r="G291" s="871">
        <f>'Дор знаки'!G29*1.05</f>
        <v>0</v>
      </c>
      <c r="H291" s="871">
        <v>0</v>
      </c>
      <c r="I291" s="590">
        <f t="shared" si="72"/>
        <v>0</v>
      </c>
      <c r="J291" s="491" t="s">
        <v>34</v>
      </c>
      <c r="K291" s="352"/>
    </row>
    <row r="292" spans="1:14" s="52" customFormat="1" ht="60" customHeight="1" outlineLevel="1">
      <c r="A292" s="181" t="s">
        <v>460</v>
      </c>
      <c r="B292" s="170" t="s">
        <v>466</v>
      </c>
      <c r="C292" s="175" t="s">
        <v>463</v>
      </c>
      <c r="D292" s="222" t="s">
        <v>448</v>
      </c>
      <c r="E292" s="436">
        <v>4</v>
      </c>
      <c r="F292" s="530">
        <v>0</v>
      </c>
      <c r="G292" s="530">
        <v>8000</v>
      </c>
      <c r="H292" s="530">
        <v>0</v>
      </c>
      <c r="I292" s="615">
        <f t="shared" si="72"/>
        <v>32000</v>
      </c>
      <c r="J292" s="491" t="s">
        <v>34</v>
      </c>
      <c r="K292" s="352"/>
    </row>
    <row r="293" spans="1:14" s="52" customFormat="1" ht="57.75" customHeight="1" outlineLevel="1">
      <c r="A293" s="181" t="s">
        <v>461</v>
      </c>
      <c r="B293" s="170" t="s">
        <v>467</v>
      </c>
      <c r="C293" s="175" t="s">
        <v>463</v>
      </c>
      <c r="D293" s="222" t="s">
        <v>448</v>
      </c>
      <c r="E293" s="436">
        <v>5</v>
      </c>
      <c r="F293" s="530">
        <v>0</v>
      </c>
      <c r="G293" s="530">
        <v>15000</v>
      </c>
      <c r="H293" s="530">
        <v>0</v>
      </c>
      <c r="I293" s="615">
        <f t="shared" si="72"/>
        <v>75000</v>
      </c>
      <c r="J293" s="491" t="s">
        <v>34</v>
      </c>
      <c r="K293" s="352"/>
    </row>
    <row r="294" spans="1:14" s="441" customFormat="1">
      <c r="A294" s="437"/>
      <c r="B294" s="438"/>
      <c r="C294" s="145"/>
      <c r="D294" s="438" t="s">
        <v>468</v>
      </c>
      <c r="E294" s="145"/>
      <c r="F294" s="439">
        <f>ROUND((SUMPRODUCT(E11:E293,F11:F293)/100),2)*100</f>
        <v>84667</v>
      </c>
      <c r="G294" s="439">
        <f>ROUND((SUMPRODUCT(E11:E293,G11:G293)/100),2)*100</f>
        <v>588565</v>
      </c>
      <c r="H294" s="439">
        <f>ROUND((SUMPRODUCT(E11:E293,H11:H293)/100),2)*100</f>
        <v>18057</v>
      </c>
      <c r="I294" s="440">
        <f>F294+G294+H294</f>
        <v>691289</v>
      </c>
      <c r="J294" s="145"/>
      <c r="K294" s="145"/>
    </row>
    <row r="295" spans="1:14">
      <c r="A295" s="146"/>
      <c r="B295" s="147"/>
      <c r="C295" s="145"/>
      <c r="D295" s="148"/>
      <c r="E295" s="577"/>
      <c r="F295" s="162"/>
      <c r="G295" s="162"/>
      <c r="H295" s="162"/>
      <c r="I295" s="149">
        <f>I294-H296</f>
        <v>-1</v>
      </c>
    </row>
    <row r="296" spans="1:14" ht="50.25" customHeight="1">
      <c r="A296" s="684" t="s">
        <v>1109</v>
      </c>
      <c r="B296" s="684"/>
      <c r="C296" s="684"/>
      <c r="D296" s="684"/>
      <c r="E296" s="684"/>
      <c r="F296" s="684"/>
      <c r="G296" s="684"/>
      <c r="H296" s="651">
        <f>ROUND(((SUM(I10:I293))/20),0)*10</f>
        <v>691290</v>
      </c>
      <c r="I296" s="651"/>
      <c r="J296" s="651"/>
      <c r="K296" s="506"/>
      <c r="N296" s="191"/>
    </row>
    <row r="297" spans="1:14">
      <c r="A297" s="60"/>
      <c r="B297" s="187"/>
      <c r="C297" s="57"/>
      <c r="D297" s="57"/>
      <c r="E297" s="57"/>
      <c r="F297" s="57"/>
      <c r="G297" s="57"/>
      <c r="H297" s="161"/>
      <c r="I297" s="57"/>
    </row>
    <row r="298" spans="1:14">
      <c r="A298" s="57"/>
      <c r="B298" s="53"/>
      <c r="C298" s="57"/>
      <c r="D298" s="45"/>
      <c r="I298" s="57"/>
    </row>
    <row r="299" spans="1:14">
      <c r="A299" s="57"/>
      <c r="B299" s="53"/>
      <c r="C299" s="57"/>
      <c r="D299" s="45"/>
      <c r="I299" s="57"/>
    </row>
    <row r="300" spans="1:14" ht="15.75">
      <c r="A300" s="57"/>
      <c r="B300" s="527" t="s">
        <v>1110</v>
      </c>
      <c r="C300" s="528"/>
      <c r="D300" s="529"/>
      <c r="E300" s="529"/>
      <c r="I300" s="57"/>
    </row>
    <row r="301" spans="1:14" ht="15.75">
      <c r="A301" s="57"/>
      <c r="B301" s="527" t="s">
        <v>1111</v>
      </c>
      <c r="C301" s="527"/>
      <c r="D301" s="868"/>
      <c r="E301" s="578" t="s">
        <v>1112</v>
      </c>
      <c r="I301" s="57"/>
    </row>
    <row r="302" spans="1:14" ht="15.75">
      <c r="A302" s="57"/>
      <c r="B302" s="623" t="s">
        <v>1113</v>
      </c>
      <c r="C302" s="623"/>
      <c r="D302" s="869"/>
      <c r="E302" s="578" t="s">
        <v>1122</v>
      </c>
      <c r="I302" s="57"/>
    </row>
    <row r="303" spans="1:14" ht="15.75">
      <c r="A303" s="57"/>
      <c r="B303" s="527" t="s">
        <v>1121</v>
      </c>
      <c r="C303" s="527"/>
      <c r="D303" s="870"/>
      <c r="E303" s="579" t="s">
        <v>869</v>
      </c>
      <c r="I303" s="57"/>
    </row>
    <row r="304" spans="1:14" ht="15.75">
      <c r="A304" s="57"/>
      <c r="B304" s="527" t="s">
        <v>1125</v>
      </c>
      <c r="C304" s="527"/>
      <c r="D304" s="870"/>
      <c r="E304" s="579" t="s">
        <v>1114</v>
      </c>
      <c r="I304" s="57"/>
    </row>
    <row r="305" spans="1:9">
      <c r="A305" s="57"/>
      <c r="C305" s="57"/>
      <c r="D305" s="45"/>
      <c r="I305" s="57"/>
    </row>
    <row r="306" spans="1:9">
      <c r="A306" s="57"/>
      <c r="C306" s="57"/>
      <c r="D306" s="45"/>
      <c r="I306" s="57"/>
    </row>
    <row r="307" spans="1:9">
      <c r="A307" s="57"/>
      <c r="C307" s="57"/>
      <c r="D307" s="45"/>
      <c r="I307" s="57"/>
    </row>
    <row r="308" spans="1:9">
      <c r="A308" s="57"/>
      <c r="C308" s="57"/>
      <c r="D308" s="57"/>
      <c r="E308" s="57"/>
      <c r="F308" s="57"/>
      <c r="G308" s="57"/>
      <c r="H308" s="57"/>
      <c r="I308" s="57"/>
    </row>
    <row r="309" spans="1:9">
      <c r="A309" s="57"/>
      <c r="C309" s="57"/>
      <c r="D309" s="57"/>
      <c r="E309" s="57"/>
      <c r="F309" s="57"/>
      <c r="G309" s="57"/>
      <c r="H309" s="57"/>
      <c r="I309" s="57"/>
    </row>
    <row r="310" spans="1:9">
      <c r="A310" s="57"/>
      <c r="C310" s="57"/>
      <c r="D310" s="57"/>
      <c r="E310" s="57"/>
      <c r="F310" s="57"/>
      <c r="G310" s="57"/>
      <c r="H310" s="57"/>
      <c r="I310" s="57"/>
    </row>
    <row r="311" spans="1:9">
      <c r="A311" s="57"/>
      <c r="C311" s="57"/>
      <c r="D311" s="57"/>
      <c r="E311" s="57"/>
      <c r="F311" s="57"/>
      <c r="G311" s="57"/>
      <c r="H311" s="57"/>
      <c r="I311" s="57"/>
    </row>
    <row r="312" spans="1:9">
      <c r="A312" s="57"/>
      <c r="C312" s="57"/>
      <c r="D312" s="57"/>
      <c r="E312" s="57"/>
      <c r="F312" s="57"/>
      <c r="G312" s="57"/>
      <c r="H312" s="57"/>
      <c r="I312" s="57"/>
    </row>
    <row r="313" spans="1:9">
      <c r="A313" s="57"/>
      <c r="C313" s="57"/>
      <c r="D313" s="57"/>
      <c r="E313" s="57"/>
      <c r="F313" s="57"/>
      <c r="G313" s="57"/>
      <c r="H313" s="57"/>
      <c r="I313" s="57"/>
    </row>
    <row r="314" spans="1:9">
      <c r="A314" s="57"/>
      <c r="C314" s="57"/>
      <c r="D314" s="57"/>
      <c r="E314" s="57"/>
      <c r="F314" s="57"/>
      <c r="G314" s="57"/>
      <c r="H314" s="57"/>
      <c r="I314" s="57"/>
    </row>
    <row r="315" spans="1:9">
      <c r="A315" s="57"/>
      <c r="C315" s="57"/>
      <c r="D315" s="57"/>
      <c r="E315" s="57"/>
      <c r="F315" s="57"/>
      <c r="G315" s="57"/>
      <c r="H315" s="57"/>
      <c r="I315" s="57"/>
    </row>
    <row r="316" spans="1:9">
      <c r="A316" s="57"/>
      <c r="C316" s="57"/>
      <c r="D316" s="57"/>
      <c r="E316" s="57"/>
      <c r="F316" s="57"/>
      <c r="G316" s="57"/>
      <c r="H316" s="57"/>
      <c r="I316" s="57"/>
    </row>
    <row r="317" spans="1:9">
      <c r="A317" s="57"/>
      <c r="C317" s="57"/>
      <c r="D317" s="57"/>
      <c r="E317" s="57"/>
      <c r="F317" s="57"/>
      <c r="G317" s="57"/>
      <c r="H317" s="57"/>
      <c r="I317" s="57"/>
    </row>
    <row r="318" spans="1:9">
      <c r="A318" s="57"/>
      <c r="C318" s="57"/>
      <c r="D318" s="57"/>
      <c r="E318" s="57"/>
      <c r="F318" s="57"/>
      <c r="G318" s="57"/>
      <c r="H318" s="57"/>
      <c r="I318" s="57"/>
    </row>
    <row r="319" spans="1:9">
      <c r="A319" s="57"/>
      <c r="C319" s="57"/>
      <c r="D319" s="57"/>
      <c r="E319" s="57"/>
      <c r="F319" s="57"/>
      <c r="G319" s="57"/>
      <c r="H319" s="57"/>
      <c r="I319" s="57"/>
    </row>
    <row r="320" spans="1:9">
      <c r="A320" s="57"/>
      <c r="C320" s="57"/>
      <c r="D320" s="57"/>
      <c r="E320" s="57"/>
      <c r="F320" s="57"/>
      <c r="G320" s="57"/>
      <c r="H320" s="57"/>
      <c r="I320" s="57"/>
    </row>
    <row r="321" spans="1:9">
      <c r="A321" s="57"/>
      <c r="C321" s="57"/>
      <c r="D321" s="57"/>
      <c r="E321" s="57"/>
      <c r="F321" s="57"/>
      <c r="G321" s="57"/>
      <c r="H321" s="57"/>
      <c r="I321" s="57"/>
    </row>
    <row r="322" spans="1:9">
      <c r="A322" s="57"/>
      <c r="C322" s="57"/>
      <c r="D322" s="57"/>
      <c r="E322" s="57"/>
      <c r="F322" s="57"/>
      <c r="G322" s="57"/>
      <c r="H322" s="57"/>
      <c r="I322" s="57"/>
    </row>
    <row r="323" spans="1:9">
      <c r="A323" s="57"/>
      <c r="C323" s="57"/>
      <c r="D323" s="57"/>
      <c r="E323" s="57"/>
      <c r="F323" s="57"/>
      <c r="G323" s="57"/>
      <c r="H323" s="57"/>
      <c r="I323" s="57"/>
    </row>
    <row r="324" spans="1:9">
      <c r="A324" s="57"/>
      <c r="C324" s="57"/>
      <c r="D324" s="57"/>
      <c r="E324" s="57"/>
      <c r="F324" s="57"/>
      <c r="G324" s="57"/>
      <c r="H324" s="57"/>
      <c r="I324" s="57"/>
    </row>
    <row r="325" spans="1:9">
      <c r="A325" s="57"/>
      <c r="C325" s="57"/>
      <c r="D325" s="57"/>
      <c r="E325" s="57"/>
      <c r="F325" s="57"/>
      <c r="G325" s="57"/>
      <c r="H325" s="57"/>
      <c r="I325" s="57"/>
    </row>
    <row r="326" spans="1:9">
      <c r="A326" s="57"/>
      <c r="C326" s="57"/>
      <c r="D326" s="57"/>
      <c r="E326" s="57"/>
      <c r="F326" s="57"/>
      <c r="G326" s="57"/>
      <c r="H326" s="57"/>
      <c r="I326" s="57"/>
    </row>
    <row r="327" spans="1:9">
      <c r="A327" s="57"/>
      <c r="C327" s="57"/>
      <c r="D327" s="57"/>
      <c r="E327" s="57"/>
      <c r="F327" s="57"/>
      <c r="G327" s="57"/>
      <c r="H327" s="57"/>
      <c r="I327" s="57"/>
    </row>
    <row r="328" spans="1:9">
      <c r="A328" s="57"/>
      <c r="C328" s="57"/>
      <c r="D328" s="57"/>
      <c r="E328" s="57"/>
      <c r="F328" s="57"/>
      <c r="G328" s="57"/>
      <c r="H328" s="57"/>
      <c r="I328" s="57"/>
    </row>
    <row r="329" spans="1:9">
      <c r="A329" s="57"/>
      <c r="C329" s="57"/>
      <c r="D329" s="57"/>
      <c r="E329" s="57"/>
      <c r="F329" s="57"/>
      <c r="G329" s="57"/>
      <c r="H329" s="57"/>
      <c r="I329" s="57"/>
    </row>
    <row r="330" spans="1:9">
      <c r="A330" s="57"/>
      <c r="C330" s="57"/>
      <c r="D330" s="57"/>
      <c r="E330" s="57"/>
      <c r="F330" s="57"/>
      <c r="G330" s="57"/>
      <c r="H330" s="57"/>
      <c r="I330" s="57"/>
    </row>
    <row r="331" spans="1:9">
      <c r="A331" s="57"/>
      <c r="C331" s="57"/>
      <c r="D331" s="57"/>
      <c r="E331" s="57"/>
      <c r="F331" s="57"/>
      <c r="G331" s="57"/>
      <c r="H331" s="57"/>
      <c r="I331" s="57"/>
    </row>
    <row r="332" spans="1:9">
      <c r="A332" s="57"/>
      <c r="C332" s="57"/>
      <c r="D332" s="57"/>
      <c r="E332" s="57"/>
      <c r="F332" s="57"/>
      <c r="G332" s="57"/>
      <c r="H332" s="57"/>
      <c r="I332" s="57"/>
    </row>
    <row r="333" spans="1:9">
      <c r="A333" s="57"/>
      <c r="C333" s="57"/>
      <c r="D333" s="57"/>
      <c r="E333" s="57"/>
      <c r="F333" s="57"/>
      <c r="G333" s="57"/>
      <c r="H333" s="57"/>
      <c r="I333" s="57"/>
    </row>
    <row r="334" spans="1:9">
      <c r="A334" s="57"/>
      <c r="C334" s="57"/>
      <c r="D334" s="57"/>
      <c r="E334" s="57"/>
      <c r="F334" s="57"/>
      <c r="G334" s="57"/>
      <c r="H334" s="57"/>
      <c r="I334" s="57"/>
    </row>
    <row r="335" spans="1:9">
      <c r="A335" s="57"/>
      <c r="C335" s="57"/>
      <c r="D335" s="57"/>
      <c r="E335" s="57"/>
      <c r="F335" s="57"/>
      <c r="G335" s="57"/>
      <c r="H335" s="57"/>
      <c r="I335" s="57"/>
    </row>
    <row r="336" spans="1:9">
      <c r="A336" s="57"/>
      <c r="C336" s="57"/>
      <c r="D336" s="57"/>
      <c r="E336" s="57"/>
      <c r="F336" s="57"/>
      <c r="G336" s="57"/>
      <c r="H336" s="57"/>
      <c r="I336" s="57"/>
    </row>
    <row r="337" spans="1:9">
      <c r="A337" s="57"/>
      <c r="C337" s="57"/>
      <c r="D337" s="57"/>
      <c r="E337" s="57"/>
      <c r="F337" s="57"/>
      <c r="G337" s="57"/>
      <c r="H337" s="57"/>
      <c r="I337" s="57"/>
    </row>
    <row r="338" spans="1:9">
      <c r="A338" s="57"/>
      <c r="C338" s="57"/>
      <c r="D338" s="57"/>
      <c r="E338" s="57"/>
      <c r="F338" s="57"/>
      <c r="G338" s="57"/>
      <c r="H338" s="57"/>
      <c r="I338" s="57"/>
    </row>
    <row r="339" spans="1:9">
      <c r="A339" s="57"/>
      <c r="C339" s="57"/>
      <c r="D339" s="57"/>
      <c r="E339" s="57"/>
      <c r="F339" s="57"/>
      <c r="G339" s="57"/>
      <c r="H339" s="57"/>
      <c r="I339" s="57"/>
    </row>
    <row r="340" spans="1:9">
      <c r="A340" s="57"/>
      <c r="C340" s="57"/>
      <c r="D340" s="57"/>
      <c r="E340" s="57"/>
      <c r="F340" s="57"/>
      <c r="G340" s="57"/>
      <c r="H340" s="57"/>
      <c r="I340" s="57"/>
    </row>
    <row r="341" spans="1:9">
      <c r="A341" s="57"/>
      <c r="C341" s="57"/>
      <c r="D341" s="57"/>
      <c r="E341" s="57"/>
      <c r="F341" s="57"/>
      <c r="G341" s="57"/>
      <c r="H341" s="57"/>
      <c r="I341" s="57"/>
    </row>
    <row r="342" spans="1:9">
      <c r="A342" s="57"/>
      <c r="C342" s="57"/>
      <c r="D342" s="57"/>
      <c r="E342" s="57"/>
      <c r="F342" s="57"/>
      <c r="G342" s="57"/>
      <c r="H342" s="57"/>
      <c r="I342" s="57"/>
    </row>
    <row r="343" spans="1:9">
      <c r="A343" s="57"/>
      <c r="C343" s="57"/>
      <c r="D343" s="57"/>
      <c r="E343" s="57"/>
      <c r="F343" s="57"/>
      <c r="G343" s="57"/>
      <c r="H343" s="57"/>
      <c r="I343" s="57"/>
    </row>
    <row r="344" spans="1:9">
      <c r="A344" s="57"/>
      <c r="C344" s="57"/>
      <c r="D344" s="57"/>
      <c r="E344" s="57"/>
      <c r="F344" s="57"/>
      <c r="G344" s="57"/>
      <c r="H344" s="57"/>
      <c r="I344" s="57"/>
    </row>
    <row r="345" spans="1:9">
      <c r="A345" s="57"/>
      <c r="C345" s="57"/>
      <c r="D345" s="57"/>
      <c r="E345" s="57"/>
      <c r="F345" s="57"/>
      <c r="G345" s="57"/>
      <c r="H345" s="57"/>
      <c r="I345" s="57"/>
    </row>
    <row r="346" spans="1:9">
      <c r="A346" s="57"/>
      <c r="C346" s="57"/>
      <c r="D346" s="57"/>
      <c r="E346" s="57"/>
      <c r="F346" s="57"/>
      <c r="G346" s="57"/>
      <c r="H346" s="57"/>
      <c r="I346" s="57"/>
    </row>
    <row r="347" spans="1:9">
      <c r="A347" s="57"/>
      <c r="C347" s="57"/>
      <c r="D347" s="57"/>
      <c r="E347" s="57"/>
      <c r="F347" s="57"/>
      <c r="G347" s="57"/>
      <c r="H347" s="57"/>
      <c r="I347" s="57"/>
    </row>
    <row r="348" spans="1:9">
      <c r="A348" s="57"/>
      <c r="C348" s="57"/>
      <c r="D348" s="57"/>
      <c r="E348" s="57"/>
      <c r="F348" s="57"/>
      <c r="G348" s="57"/>
      <c r="H348" s="57"/>
      <c r="I348" s="57"/>
    </row>
    <row r="349" spans="1:9">
      <c r="A349" s="57"/>
      <c r="C349" s="57"/>
      <c r="D349" s="57"/>
      <c r="E349" s="57"/>
      <c r="F349" s="57"/>
      <c r="G349" s="57"/>
      <c r="H349" s="57"/>
      <c r="I349" s="57"/>
    </row>
    <row r="350" spans="1:9">
      <c r="A350" s="57"/>
      <c r="C350" s="57"/>
      <c r="D350" s="57"/>
      <c r="E350" s="57"/>
      <c r="F350" s="57"/>
      <c r="G350" s="57"/>
      <c r="H350" s="57"/>
      <c r="I350" s="57"/>
    </row>
    <row r="351" spans="1:9">
      <c r="A351" s="57"/>
      <c r="C351" s="57"/>
      <c r="D351" s="57"/>
      <c r="E351" s="57"/>
      <c r="F351" s="57"/>
      <c r="G351" s="57"/>
      <c r="H351" s="57"/>
      <c r="I351" s="57"/>
    </row>
    <row r="352" spans="1:9">
      <c r="A352" s="57"/>
      <c r="C352" s="57"/>
      <c r="D352" s="57"/>
      <c r="E352" s="57"/>
      <c r="F352" s="57"/>
      <c r="G352" s="57"/>
      <c r="H352" s="57"/>
      <c r="I352" s="57"/>
    </row>
    <row r="353" spans="1:9">
      <c r="A353" s="57"/>
      <c r="C353" s="57"/>
      <c r="D353" s="57"/>
      <c r="E353" s="57"/>
      <c r="F353" s="57"/>
      <c r="G353" s="57"/>
      <c r="H353" s="57"/>
      <c r="I353" s="57"/>
    </row>
    <row r="354" spans="1:9">
      <c r="A354" s="57"/>
      <c r="C354" s="57"/>
      <c r="D354" s="57"/>
      <c r="E354" s="57"/>
      <c r="F354" s="57"/>
      <c r="G354" s="57"/>
      <c r="H354" s="57"/>
      <c r="I354" s="57"/>
    </row>
    <row r="355" spans="1:9">
      <c r="A355" s="57"/>
      <c r="C355" s="57"/>
      <c r="D355" s="57"/>
      <c r="E355" s="57"/>
      <c r="F355" s="57"/>
      <c r="G355" s="57"/>
      <c r="H355" s="57"/>
      <c r="I355" s="57"/>
    </row>
    <row r="356" spans="1:9">
      <c r="A356" s="57"/>
      <c r="C356" s="57"/>
      <c r="D356" s="57"/>
      <c r="E356" s="57"/>
      <c r="F356" s="57"/>
      <c r="G356" s="57"/>
      <c r="H356" s="57"/>
      <c r="I356" s="57"/>
    </row>
    <row r="357" spans="1:9">
      <c r="A357" s="57"/>
      <c r="C357" s="57"/>
      <c r="D357" s="57"/>
      <c r="E357" s="57"/>
      <c r="F357" s="57"/>
      <c r="G357" s="57"/>
      <c r="H357" s="57"/>
      <c r="I357" s="57"/>
    </row>
    <row r="358" spans="1:9">
      <c r="A358" s="57"/>
      <c r="C358" s="57"/>
      <c r="D358" s="57"/>
      <c r="E358" s="57"/>
      <c r="F358" s="57"/>
      <c r="G358" s="57"/>
      <c r="H358" s="57"/>
      <c r="I358" s="57"/>
    </row>
    <row r="359" spans="1:9">
      <c r="A359" s="57"/>
      <c r="C359" s="57"/>
      <c r="D359" s="57"/>
      <c r="E359" s="57"/>
      <c r="F359" s="57"/>
      <c r="G359" s="57"/>
      <c r="H359" s="57"/>
      <c r="I359" s="57"/>
    </row>
    <row r="360" spans="1:9">
      <c r="A360" s="57"/>
      <c r="C360" s="57"/>
      <c r="D360" s="57"/>
      <c r="E360" s="57"/>
      <c r="F360" s="57"/>
      <c r="G360" s="57"/>
      <c r="H360" s="57"/>
      <c r="I360" s="57"/>
    </row>
    <row r="361" spans="1:9">
      <c r="A361" s="57"/>
      <c r="C361" s="57"/>
      <c r="D361" s="57"/>
      <c r="E361" s="57"/>
      <c r="F361" s="57"/>
      <c r="G361" s="57"/>
      <c r="H361" s="57"/>
      <c r="I361" s="57"/>
    </row>
    <row r="362" spans="1:9">
      <c r="A362" s="57"/>
      <c r="C362" s="57"/>
      <c r="D362" s="57"/>
      <c r="E362" s="57"/>
      <c r="F362" s="57"/>
      <c r="G362" s="57"/>
      <c r="H362" s="57"/>
      <c r="I362" s="57"/>
    </row>
    <row r="363" spans="1:9">
      <c r="A363" s="57"/>
      <c r="C363" s="57"/>
      <c r="D363" s="57"/>
      <c r="E363" s="57"/>
      <c r="F363" s="57"/>
      <c r="G363" s="57"/>
      <c r="H363" s="57"/>
      <c r="I363" s="57"/>
    </row>
    <row r="364" spans="1:9">
      <c r="A364" s="57"/>
      <c r="C364" s="57"/>
      <c r="D364" s="57"/>
      <c r="E364" s="57"/>
      <c r="F364" s="57"/>
      <c r="G364" s="57"/>
      <c r="H364" s="57"/>
      <c r="I364" s="57"/>
    </row>
    <row r="365" spans="1:9">
      <c r="A365" s="57"/>
      <c r="C365" s="57"/>
      <c r="D365" s="57"/>
      <c r="E365" s="57"/>
      <c r="F365" s="57"/>
      <c r="G365" s="57"/>
      <c r="H365" s="57"/>
      <c r="I365" s="57"/>
    </row>
    <row r="366" spans="1:9">
      <c r="A366" s="57"/>
      <c r="C366" s="57"/>
      <c r="D366" s="57"/>
      <c r="E366" s="57"/>
      <c r="F366" s="57"/>
      <c r="G366" s="57"/>
      <c r="H366" s="57"/>
      <c r="I366" s="57"/>
    </row>
    <row r="367" spans="1:9">
      <c r="A367" s="57"/>
      <c r="C367" s="57"/>
      <c r="D367" s="57"/>
      <c r="E367" s="57"/>
      <c r="F367" s="57"/>
      <c r="G367" s="57"/>
      <c r="H367" s="57"/>
      <c r="I367" s="57"/>
    </row>
    <row r="368" spans="1:9">
      <c r="A368" s="57"/>
      <c r="C368" s="57"/>
      <c r="D368" s="57"/>
      <c r="E368" s="57"/>
      <c r="F368" s="57"/>
      <c r="G368" s="57"/>
      <c r="H368" s="57"/>
      <c r="I368" s="57"/>
    </row>
    <row r="369" spans="1:9">
      <c r="A369" s="57"/>
      <c r="C369" s="57"/>
      <c r="D369" s="57"/>
      <c r="E369" s="57"/>
      <c r="F369" s="57"/>
      <c r="G369" s="57"/>
      <c r="H369" s="57"/>
      <c r="I369" s="57"/>
    </row>
    <row r="370" spans="1:9">
      <c r="A370" s="57"/>
      <c r="C370" s="57"/>
      <c r="D370" s="57"/>
      <c r="E370" s="57"/>
      <c r="F370" s="57"/>
      <c r="G370" s="57"/>
      <c r="H370" s="57"/>
      <c r="I370" s="57"/>
    </row>
    <row r="371" spans="1:9">
      <c r="A371" s="57"/>
      <c r="C371" s="57"/>
      <c r="D371" s="57"/>
      <c r="E371" s="57"/>
      <c r="F371" s="57"/>
      <c r="G371" s="57"/>
      <c r="H371" s="57"/>
      <c r="I371" s="57"/>
    </row>
    <row r="372" spans="1:9">
      <c r="A372" s="57"/>
      <c r="C372" s="57"/>
      <c r="D372" s="57"/>
      <c r="E372" s="57"/>
      <c r="F372" s="57"/>
      <c r="G372" s="57"/>
      <c r="H372" s="57"/>
      <c r="I372" s="57"/>
    </row>
    <row r="373" spans="1:9">
      <c r="A373" s="57"/>
      <c r="C373" s="57"/>
      <c r="D373" s="57"/>
      <c r="E373" s="57"/>
      <c r="F373" s="57"/>
      <c r="G373" s="57"/>
      <c r="H373" s="57"/>
      <c r="I373" s="57"/>
    </row>
    <row r="374" spans="1:9">
      <c r="A374" s="57"/>
      <c r="C374" s="57"/>
      <c r="D374" s="57"/>
      <c r="E374" s="57"/>
      <c r="F374" s="57"/>
      <c r="G374" s="57"/>
      <c r="H374" s="57"/>
      <c r="I374" s="57"/>
    </row>
    <row r="375" spans="1:9">
      <c r="A375" s="57"/>
      <c r="C375" s="57"/>
      <c r="D375" s="57"/>
      <c r="E375" s="57"/>
      <c r="F375" s="57"/>
      <c r="G375" s="57"/>
      <c r="H375" s="57"/>
      <c r="I375" s="57"/>
    </row>
    <row r="376" spans="1:9">
      <c r="A376" s="57"/>
      <c r="C376" s="57"/>
      <c r="D376" s="57"/>
      <c r="E376" s="57"/>
      <c r="F376" s="57"/>
      <c r="G376" s="57"/>
      <c r="H376" s="57"/>
      <c r="I376" s="57"/>
    </row>
    <row r="377" spans="1:9">
      <c r="A377" s="57"/>
      <c r="C377" s="57"/>
      <c r="D377" s="57"/>
      <c r="E377" s="57"/>
      <c r="F377" s="57"/>
      <c r="G377" s="57"/>
      <c r="H377" s="57"/>
      <c r="I377" s="57"/>
    </row>
    <row r="378" spans="1:9">
      <c r="A378" s="57"/>
      <c r="C378" s="57"/>
      <c r="D378" s="57"/>
      <c r="E378" s="57"/>
      <c r="F378" s="57"/>
      <c r="G378" s="57"/>
      <c r="H378" s="57"/>
      <c r="I378" s="57"/>
    </row>
    <row r="379" spans="1:9">
      <c r="A379" s="57"/>
      <c r="C379" s="57"/>
      <c r="D379" s="57"/>
      <c r="E379" s="57"/>
      <c r="F379" s="57"/>
      <c r="G379" s="57"/>
      <c r="H379" s="57"/>
      <c r="I379" s="57"/>
    </row>
    <row r="380" spans="1:9">
      <c r="A380" s="57"/>
      <c r="C380" s="57"/>
      <c r="D380" s="57"/>
      <c r="E380" s="57"/>
      <c r="F380" s="57"/>
      <c r="G380" s="57"/>
      <c r="H380" s="57"/>
      <c r="I380" s="57"/>
    </row>
    <row r="381" spans="1:9">
      <c r="A381" s="57"/>
      <c r="C381" s="57"/>
      <c r="D381" s="57"/>
      <c r="E381" s="57"/>
      <c r="F381" s="57"/>
      <c r="G381" s="57"/>
      <c r="H381" s="57"/>
      <c r="I381" s="57"/>
    </row>
    <row r="382" spans="1:9">
      <c r="A382" s="57"/>
      <c r="C382" s="57"/>
      <c r="D382" s="57"/>
      <c r="E382" s="57"/>
      <c r="F382" s="57"/>
      <c r="G382" s="57"/>
      <c r="H382" s="57"/>
      <c r="I382" s="57"/>
    </row>
    <row r="383" spans="1:9">
      <c r="A383" s="57"/>
      <c r="C383" s="57"/>
      <c r="D383" s="57"/>
      <c r="E383" s="57"/>
      <c r="F383" s="57"/>
      <c r="G383" s="57"/>
      <c r="H383" s="57"/>
      <c r="I383" s="57"/>
    </row>
    <row r="384" spans="1:9">
      <c r="A384" s="57"/>
      <c r="C384" s="57"/>
      <c r="D384" s="57"/>
      <c r="E384" s="57"/>
      <c r="F384" s="57"/>
      <c r="G384" s="57"/>
      <c r="H384" s="57"/>
      <c r="I384" s="57"/>
    </row>
    <row r="385" spans="1:9">
      <c r="A385" s="57"/>
      <c r="C385" s="57"/>
      <c r="D385" s="57"/>
      <c r="E385" s="57"/>
      <c r="F385" s="57"/>
      <c r="G385" s="57"/>
      <c r="H385" s="57"/>
      <c r="I385" s="57"/>
    </row>
    <row r="386" spans="1:9">
      <c r="A386" s="57"/>
      <c r="C386" s="57"/>
      <c r="D386" s="57"/>
      <c r="E386" s="57"/>
      <c r="F386" s="57"/>
      <c r="G386" s="57"/>
      <c r="H386" s="57"/>
      <c r="I386" s="57"/>
    </row>
    <row r="387" spans="1:9">
      <c r="A387" s="57"/>
      <c r="C387" s="57"/>
      <c r="D387" s="57"/>
      <c r="E387" s="57"/>
      <c r="F387" s="57"/>
      <c r="G387" s="57"/>
      <c r="H387" s="57"/>
      <c r="I387" s="57"/>
    </row>
    <row r="388" spans="1:9">
      <c r="A388" s="57"/>
      <c r="C388" s="57"/>
      <c r="D388" s="57"/>
      <c r="E388" s="57"/>
      <c r="F388" s="57"/>
      <c r="G388" s="57"/>
      <c r="H388" s="57"/>
      <c r="I388" s="57"/>
    </row>
    <row r="389" spans="1:9">
      <c r="A389" s="57"/>
      <c r="C389" s="57"/>
      <c r="D389" s="57"/>
      <c r="E389" s="57"/>
      <c r="F389" s="57"/>
      <c r="G389" s="57"/>
      <c r="H389" s="57"/>
      <c r="I389" s="57"/>
    </row>
    <row r="390" spans="1:9">
      <c r="A390" s="57"/>
      <c r="C390" s="57"/>
      <c r="D390" s="57"/>
      <c r="E390" s="57"/>
      <c r="F390" s="57"/>
      <c r="G390" s="57"/>
      <c r="H390" s="57"/>
      <c r="I390" s="57"/>
    </row>
    <row r="391" spans="1:9">
      <c r="A391" s="57"/>
      <c r="C391" s="57"/>
      <c r="D391" s="57"/>
      <c r="E391" s="57"/>
      <c r="F391" s="57"/>
      <c r="G391" s="57"/>
      <c r="H391" s="57"/>
      <c r="I391" s="57"/>
    </row>
    <row r="392" spans="1:9">
      <c r="A392" s="57"/>
      <c r="C392" s="57"/>
      <c r="D392" s="57"/>
      <c r="E392" s="57"/>
      <c r="F392" s="57"/>
      <c r="G392" s="57"/>
      <c r="H392" s="57"/>
      <c r="I392" s="57"/>
    </row>
    <row r="393" spans="1:9">
      <c r="A393" s="57"/>
      <c r="C393" s="57"/>
      <c r="D393" s="57"/>
      <c r="E393" s="57"/>
      <c r="F393" s="57"/>
      <c r="G393" s="57"/>
      <c r="H393" s="57"/>
      <c r="I393" s="57"/>
    </row>
    <row r="394" spans="1:9">
      <c r="A394" s="57"/>
      <c r="C394" s="57"/>
      <c r="D394" s="57"/>
      <c r="E394" s="57"/>
      <c r="F394" s="57"/>
      <c r="G394" s="57"/>
      <c r="H394" s="57"/>
      <c r="I394" s="57"/>
    </row>
    <row r="395" spans="1:9">
      <c r="A395" s="57"/>
      <c r="C395" s="57"/>
      <c r="D395" s="57"/>
      <c r="E395" s="57"/>
      <c r="F395" s="57"/>
      <c r="G395" s="57"/>
      <c r="H395" s="57"/>
      <c r="I395" s="57"/>
    </row>
    <row r="396" spans="1:9">
      <c r="A396" s="57"/>
      <c r="C396" s="57"/>
      <c r="D396" s="57"/>
      <c r="E396" s="57"/>
      <c r="F396" s="57"/>
      <c r="G396" s="57"/>
      <c r="H396" s="57"/>
      <c r="I396" s="57"/>
    </row>
    <row r="397" spans="1:9">
      <c r="A397" s="57"/>
      <c r="C397" s="57"/>
      <c r="D397" s="57"/>
      <c r="E397" s="57"/>
      <c r="F397" s="57"/>
      <c r="G397" s="57"/>
      <c r="H397" s="57"/>
      <c r="I397" s="57"/>
    </row>
    <row r="398" spans="1:9">
      <c r="A398" s="57"/>
      <c r="C398" s="57"/>
      <c r="D398" s="57"/>
      <c r="E398" s="57"/>
      <c r="F398" s="57"/>
      <c r="G398" s="57"/>
      <c r="H398" s="57"/>
      <c r="I398" s="57"/>
    </row>
    <row r="399" spans="1:9">
      <c r="A399" s="57"/>
      <c r="C399" s="57"/>
      <c r="D399" s="57"/>
      <c r="E399" s="57"/>
      <c r="F399" s="57"/>
      <c r="G399" s="57"/>
      <c r="H399" s="57"/>
      <c r="I399" s="57"/>
    </row>
    <row r="400" spans="1:9">
      <c r="A400" s="57"/>
      <c r="C400" s="57"/>
      <c r="D400" s="57"/>
      <c r="E400" s="57"/>
      <c r="F400" s="57"/>
      <c r="G400" s="57"/>
      <c r="H400" s="57"/>
      <c r="I400" s="57"/>
    </row>
    <row r="401" spans="1:9">
      <c r="A401" s="57"/>
      <c r="C401" s="57"/>
      <c r="D401" s="57"/>
      <c r="E401" s="57"/>
      <c r="F401" s="57"/>
      <c r="G401" s="57"/>
      <c r="H401" s="57"/>
      <c r="I401" s="57"/>
    </row>
    <row r="402" spans="1:9">
      <c r="A402" s="57"/>
      <c r="C402" s="57"/>
      <c r="D402" s="57"/>
      <c r="E402" s="57"/>
      <c r="F402" s="57"/>
      <c r="G402" s="57"/>
      <c r="H402" s="57"/>
      <c r="I402" s="57"/>
    </row>
    <row r="403" spans="1:9">
      <c r="A403" s="57"/>
      <c r="C403" s="57"/>
      <c r="D403" s="57"/>
      <c r="E403" s="57"/>
      <c r="F403" s="57"/>
      <c r="G403" s="57"/>
      <c r="H403" s="57"/>
      <c r="I403" s="57"/>
    </row>
    <row r="404" spans="1:9">
      <c r="A404" s="57"/>
      <c r="C404" s="57"/>
      <c r="D404" s="57"/>
      <c r="E404" s="57"/>
      <c r="F404" s="57"/>
      <c r="G404" s="57"/>
      <c r="H404" s="57"/>
      <c r="I404" s="57"/>
    </row>
    <row r="405" spans="1:9">
      <c r="A405" s="57"/>
      <c r="C405" s="57"/>
      <c r="D405" s="57"/>
      <c r="E405" s="57"/>
      <c r="F405" s="57"/>
      <c r="G405" s="57"/>
      <c r="H405" s="57"/>
      <c r="I405" s="57"/>
    </row>
    <row r="406" spans="1:9">
      <c r="A406" s="57"/>
      <c r="C406" s="57"/>
      <c r="D406" s="57"/>
      <c r="E406" s="57"/>
      <c r="F406" s="57"/>
      <c r="G406" s="57"/>
      <c r="H406" s="57"/>
      <c r="I406" s="57"/>
    </row>
    <row r="407" spans="1:9">
      <c r="A407" s="57"/>
      <c r="C407" s="57"/>
      <c r="D407" s="57"/>
      <c r="E407" s="57"/>
      <c r="F407" s="57"/>
      <c r="G407" s="57"/>
      <c r="H407" s="57"/>
      <c r="I407" s="57"/>
    </row>
    <row r="408" spans="1:9">
      <c r="A408" s="57"/>
      <c r="C408" s="57"/>
      <c r="D408" s="57"/>
      <c r="E408" s="57"/>
      <c r="F408" s="57"/>
      <c r="G408" s="57"/>
      <c r="H408" s="57"/>
      <c r="I408" s="57"/>
    </row>
    <row r="409" spans="1:9">
      <c r="A409" s="57"/>
      <c r="C409" s="57"/>
      <c r="D409" s="57"/>
      <c r="E409" s="57"/>
      <c r="F409" s="57"/>
      <c r="G409" s="57"/>
      <c r="H409" s="57"/>
      <c r="I409" s="57"/>
    </row>
    <row r="410" spans="1:9">
      <c r="A410" s="57"/>
      <c r="C410" s="57"/>
      <c r="D410" s="57"/>
      <c r="E410" s="57"/>
      <c r="F410" s="57"/>
      <c r="G410" s="57"/>
      <c r="H410" s="57"/>
      <c r="I410" s="57"/>
    </row>
    <row r="411" spans="1:9">
      <c r="A411" s="57"/>
      <c r="C411" s="57"/>
      <c r="D411" s="57"/>
      <c r="E411" s="57"/>
      <c r="F411" s="57"/>
      <c r="G411" s="57"/>
      <c r="H411" s="57"/>
      <c r="I411" s="57"/>
    </row>
    <row r="412" spans="1:9">
      <c r="A412" s="57"/>
      <c r="C412" s="57"/>
      <c r="D412" s="57"/>
      <c r="E412" s="57"/>
      <c r="F412" s="57"/>
      <c r="G412" s="57"/>
      <c r="H412" s="57"/>
      <c r="I412" s="57"/>
    </row>
    <row r="413" spans="1:9">
      <c r="A413" s="57"/>
      <c r="C413" s="57"/>
      <c r="D413" s="57"/>
      <c r="E413" s="57"/>
      <c r="F413" s="57"/>
      <c r="G413" s="57"/>
      <c r="H413" s="57"/>
      <c r="I413" s="57"/>
    </row>
    <row r="414" spans="1:9">
      <c r="A414" s="57"/>
      <c r="C414" s="57"/>
      <c r="D414" s="57"/>
      <c r="E414" s="57"/>
      <c r="F414" s="57"/>
      <c r="G414" s="57"/>
      <c r="H414" s="57"/>
      <c r="I414" s="57"/>
    </row>
    <row r="415" spans="1:9">
      <c r="A415" s="57"/>
      <c r="C415" s="57"/>
      <c r="D415" s="57"/>
      <c r="E415" s="57"/>
      <c r="F415" s="57"/>
      <c r="G415" s="57"/>
      <c r="H415" s="57"/>
      <c r="I415" s="57"/>
    </row>
    <row r="416" spans="1:9">
      <c r="A416" s="57"/>
      <c r="C416" s="57"/>
      <c r="D416" s="57"/>
      <c r="E416" s="57"/>
      <c r="F416" s="57"/>
      <c r="G416" s="57"/>
      <c r="H416" s="57"/>
      <c r="I416" s="57"/>
    </row>
    <row r="417" spans="1:9">
      <c r="A417" s="57"/>
      <c r="C417" s="57"/>
      <c r="D417" s="57"/>
      <c r="E417" s="57"/>
      <c r="F417" s="57"/>
      <c r="G417" s="57"/>
      <c r="H417" s="57"/>
      <c r="I417" s="57"/>
    </row>
    <row r="418" spans="1:9">
      <c r="A418" s="57"/>
      <c r="C418" s="57"/>
      <c r="D418" s="57"/>
      <c r="E418" s="57"/>
      <c r="F418" s="57"/>
      <c r="G418" s="57"/>
      <c r="H418" s="57"/>
      <c r="I418" s="57"/>
    </row>
    <row r="419" spans="1:9">
      <c r="A419" s="57"/>
      <c r="C419" s="57"/>
      <c r="D419" s="57"/>
      <c r="E419" s="57"/>
      <c r="F419" s="57"/>
      <c r="G419" s="57"/>
      <c r="H419" s="57"/>
      <c r="I419" s="57"/>
    </row>
    <row r="420" spans="1:9">
      <c r="A420" s="57"/>
      <c r="C420" s="57"/>
      <c r="D420" s="57"/>
      <c r="E420" s="57"/>
      <c r="F420" s="57"/>
      <c r="G420" s="57"/>
      <c r="H420" s="57"/>
      <c r="I420" s="57"/>
    </row>
    <row r="421" spans="1:9">
      <c r="A421" s="57"/>
      <c r="C421" s="57"/>
      <c r="D421" s="57"/>
      <c r="E421" s="57"/>
      <c r="F421" s="57"/>
      <c r="G421" s="57"/>
      <c r="H421" s="57"/>
      <c r="I421" s="57"/>
    </row>
    <row r="422" spans="1:9">
      <c r="A422" s="57"/>
      <c r="C422" s="57"/>
      <c r="D422" s="57"/>
      <c r="E422" s="57"/>
      <c r="F422" s="57"/>
      <c r="G422" s="57"/>
      <c r="H422" s="57"/>
      <c r="I422" s="57"/>
    </row>
    <row r="423" spans="1:9">
      <c r="A423" s="57"/>
      <c r="C423" s="57"/>
      <c r="D423" s="57"/>
      <c r="E423" s="57"/>
      <c r="F423" s="57"/>
      <c r="G423" s="57"/>
      <c r="H423" s="57"/>
      <c r="I423" s="57"/>
    </row>
    <row r="424" spans="1:9">
      <c r="A424" s="57"/>
      <c r="C424" s="57"/>
      <c r="D424" s="57"/>
      <c r="E424" s="57"/>
      <c r="F424" s="57"/>
      <c r="G424" s="57"/>
      <c r="H424" s="57"/>
      <c r="I424" s="57"/>
    </row>
    <row r="425" spans="1:9">
      <c r="A425" s="57"/>
      <c r="C425" s="57"/>
      <c r="D425" s="57"/>
      <c r="E425" s="57"/>
      <c r="F425" s="57"/>
      <c r="G425" s="57"/>
      <c r="H425" s="57"/>
      <c r="I425" s="57"/>
    </row>
    <row r="426" spans="1:9">
      <c r="A426" s="57"/>
      <c r="C426" s="57"/>
      <c r="D426" s="57"/>
      <c r="E426" s="57"/>
      <c r="F426" s="57"/>
      <c r="G426" s="57"/>
      <c r="H426" s="57"/>
      <c r="I426" s="57"/>
    </row>
    <row r="427" spans="1:9">
      <c r="A427" s="57"/>
      <c r="C427" s="57"/>
      <c r="D427" s="57"/>
      <c r="E427" s="57"/>
      <c r="F427" s="57"/>
      <c r="G427" s="57"/>
      <c r="H427" s="57"/>
      <c r="I427" s="57"/>
    </row>
    <row r="428" spans="1:9">
      <c r="A428" s="57"/>
      <c r="C428" s="57"/>
      <c r="D428" s="57"/>
      <c r="E428" s="57"/>
      <c r="F428" s="57"/>
      <c r="G428" s="57"/>
      <c r="H428" s="57"/>
      <c r="I428" s="57"/>
    </row>
    <row r="429" spans="1:9">
      <c r="A429" s="57"/>
      <c r="C429" s="57"/>
      <c r="D429" s="57"/>
      <c r="E429" s="57"/>
      <c r="F429" s="57"/>
      <c r="G429" s="57"/>
      <c r="H429" s="57"/>
      <c r="I429" s="57"/>
    </row>
    <row r="430" spans="1:9">
      <c r="A430" s="57"/>
      <c r="C430" s="57"/>
      <c r="D430" s="57"/>
      <c r="E430" s="57"/>
      <c r="F430" s="57"/>
      <c r="G430" s="57"/>
      <c r="H430" s="57"/>
      <c r="I430" s="57"/>
    </row>
    <row r="431" spans="1:9">
      <c r="A431" s="57"/>
      <c r="C431" s="57"/>
      <c r="D431" s="57"/>
      <c r="E431" s="57"/>
      <c r="F431" s="57"/>
      <c r="G431" s="57"/>
      <c r="H431" s="57"/>
      <c r="I431" s="57"/>
    </row>
    <row r="432" spans="1:9">
      <c r="A432" s="57"/>
      <c r="C432" s="57"/>
      <c r="D432" s="57"/>
      <c r="E432" s="57"/>
      <c r="F432" s="57"/>
      <c r="G432" s="57"/>
      <c r="H432" s="57"/>
      <c r="I432" s="57"/>
    </row>
    <row r="433" spans="1:9">
      <c r="A433" s="57"/>
      <c r="C433" s="57"/>
      <c r="D433" s="57"/>
      <c r="E433" s="57"/>
      <c r="F433" s="57"/>
      <c r="G433" s="57"/>
      <c r="H433" s="57"/>
      <c r="I433" s="57"/>
    </row>
    <row r="434" spans="1:9">
      <c r="A434" s="57"/>
      <c r="C434" s="57"/>
      <c r="D434" s="57"/>
      <c r="E434" s="57"/>
      <c r="F434" s="57"/>
      <c r="G434" s="57"/>
      <c r="H434" s="57"/>
      <c r="I434" s="57"/>
    </row>
    <row r="435" spans="1:9">
      <c r="A435" s="57"/>
      <c r="C435" s="57"/>
      <c r="D435" s="57"/>
      <c r="E435" s="57"/>
      <c r="F435" s="57"/>
      <c r="G435" s="57"/>
      <c r="H435" s="57"/>
      <c r="I435" s="57"/>
    </row>
    <row r="436" spans="1:9">
      <c r="A436" s="57"/>
      <c r="C436" s="57"/>
      <c r="D436" s="57"/>
      <c r="E436" s="57"/>
      <c r="F436" s="57"/>
      <c r="G436" s="57"/>
      <c r="H436" s="57"/>
      <c r="I436" s="57"/>
    </row>
    <row r="437" spans="1:9">
      <c r="A437" s="57"/>
      <c r="C437" s="57"/>
      <c r="D437" s="57"/>
      <c r="E437" s="57"/>
      <c r="F437" s="57"/>
      <c r="G437" s="57"/>
      <c r="H437" s="57"/>
      <c r="I437" s="57"/>
    </row>
    <row r="438" spans="1:9">
      <c r="A438" s="57"/>
      <c r="C438" s="57"/>
      <c r="D438" s="57"/>
      <c r="E438" s="57"/>
      <c r="F438" s="57"/>
      <c r="G438" s="57"/>
      <c r="H438" s="57"/>
      <c r="I438" s="57"/>
    </row>
    <row r="439" spans="1:9">
      <c r="A439" s="57"/>
      <c r="C439" s="57"/>
      <c r="D439" s="57"/>
      <c r="E439" s="57"/>
      <c r="F439" s="57"/>
      <c r="G439" s="57"/>
      <c r="H439" s="57"/>
      <c r="I439" s="57"/>
    </row>
    <row r="440" spans="1:9">
      <c r="A440" s="57"/>
      <c r="C440" s="57"/>
      <c r="D440" s="57"/>
      <c r="E440" s="57"/>
      <c r="F440" s="57"/>
      <c r="G440" s="57"/>
      <c r="H440" s="57"/>
      <c r="I440" s="57"/>
    </row>
    <row r="441" spans="1:9">
      <c r="A441" s="57"/>
      <c r="C441" s="57"/>
      <c r="D441" s="57"/>
      <c r="E441" s="57"/>
      <c r="F441" s="57"/>
      <c r="G441" s="57"/>
      <c r="H441" s="57"/>
      <c r="I441" s="57"/>
    </row>
    <row r="442" spans="1:9">
      <c r="A442" s="57"/>
      <c r="C442" s="57"/>
      <c r="D442" s="57"/>
      <c r="E442" s="57"/>
      <c r="F442" s="57"/>
      <c r="G442" s="57"/>
      <c r="H442" s="57"/>
      <c r="I442" s="57"/>
    </row>
    <row r="443" spans="1:9">
      <c r="A443" s="57"/>
      <c r="C443" s="57"/>
      <c r="D443" s="57"/>
      <c r="E443" s="57"/>
      <c r="F443" s="57"/>
      <c r="G443" s="57"/>
      <c r="H443" s="57"/>
      <c r="I443" s="57"/>
    </row>
    <row r="444" spans="1:9">
      <c r="A444" s="57"/>
      <c r="C444" s="57"/>
      <c r="D444" s="57"/>
      <c r="E444" s="57"/>
      <c r="F444" s="57"/>
      <c r="G444" s="57"/>
      <c r="H444" s="57"/>
      <c r="I444" s="57"/>
    </row>
    <row r="445" spans="1:9">
      <c r="A445" s="57"/>
      <c r="C445" s="57"/>
      <c r="D445" s="57"/>
      <c r="E445" s="57"/>
      <c r="F445" s="57"/>
      <c r="G445" s="57"/>
      <c r="H445" s="57"/>
      <c r="I445" s="57"/>
    </row>
    <row r="446" spans="1:9">
      <c r="A446" s="57"/>
      <c r="C446" s="57"/>
      <c r="D446" s="57"/>
      <c r="E446" s="57"/>
      <c r="F446" s="57"/>
      <c r="G446" s="57"/>
      <c r="H446" s="57"/>
      <c r="I446" s="57"/>
    </row>
    <row r="447" spans="1:9">
      <c r="A447" s="57"/>
      <c r="C447" s="57"/>
      <c r="D447" s="57"/>
      <c r="E447" s="57"/>
      <c r="F447" s="57"/>
      <c r="G447" s="57"/>
      <c r="H447" s="57"/>
      <c r="I447" s="57"/>
    </row>
    <row r="448" spans="1:9">
      <c r="A448" s="57"/>
      <c r="C448" s="57"/>
      <c r="D448" s="57"/>
      <c r="E448" s="57"/>
      <c r="F448" s="57"/>
      <c r="G448" s="57"/>
      <c r="H448" s="57"/>
      <c r="I448" s="57"/>
    </row>
    <row r="449" spans="1:9">
      <c r="A449" s="57"/>
      <c r="C449" s="57"/>
      <c r="D449" s="57"/>
      <c r="E449" s="57"/>
      <c r="F449" s="57"/>
      <c r="G449" s="57"/>
      <c r="H449" s="57"/>
      <c r="I449" s="57"/>
    </row>
    <row r="450" spans="1:9">
      <c r="A450" s="57"/>
      <c r="C450" s="57"/>
      <c r="D450" s="57"/>
      <c r="E450" s="57"/>
      <c r="F450" s="57"/>
      <c r="G450" s="57"/>
      <c r="H450" s="57"/>
      <c r="I450" s="57"/>
    </row>
    <row r="451" spans="1:9">
      <c r="A451" s="57"/>
      <c r="C451" s="57"/>
      <c r="D451" s="57"/>
      <c r="E451" s="57"/>
      <c r="F451" s="57"/>
      <c r="G451" s="57"/>
      <c r="H451" s="57"/>
      <c r="I451" s="57"/>
    </row>
    <row r="452" spans="1:9">
      <c r="A452" s="57"/>
      <c r="C452" s="57"/>
      <c r="D452" s="57"/>
      <c r="E452" s="57"/>
      <c r="F452" s="57"/>
      <c r="G452" s="57"/>
      <c r="H452" s="57"/>
      <c r="I452" s="57"/>
    </row>
    <row r="453" spans="1:9">
      <c r="A453" s="57"/>
      <c r="C453" s="57"/>
      <c r="D453" s="57"/>
      <c r="E453" s="57"/>
      <c r="F453" s="57"/>
      <c r="G453" s="57"/>
      <c r="H453" s="57"/>
      <c r="I453" s="57"/>
    </row>
    <row r="454" spans="1:9">
      <c r="A454" s="57"/>
      <c r="C454" s="57"/>
      <c r="D454" s="57"/>
      <c r="E454" s="57"/>
      <c r="F454" s="57"/>
      <c r="G454" s="57"/>
      <c r="H454" s="57"/>
      <c r="I454" s="57"/>
    </row>
    <row r="455" spans="1:9">
      <c r="A455" s="57"/>
      <c r="C455" s="57"/>
      <c r="D455" s="57"/>
      <c r="E455" s="57"/>
      <c r="F455" s="57"/>
      <c r="G455" s="57"/>
      <c r="H455" s="57"/>
      <c r="I455" s="57"/>
    </row>
    <row r="456" spans="1:9">
      <c r="A456" s="57"/>
      <c r="C456" s="57"/>
      <c r="D456" s="57"/>
      <c r="E456" s="57"/>
      <c r="F456" s="57"/>
      <c r="G456" s="57"/>
      <c r="H456" s="57"/>
      <c r="I456" s="57"/>
    </row>
    <row r="457" spans="1:9">
      <c r="A457" s="57"/>
      <c r="C457" s="57"/>
      <c r="D457" s="57"/>
      <c r="E457" s="57"/>
      <c r="F457" s="57"/>
      <c r="G457" s="57"/>
      <c r="H457" s="57"/>
      <c r="I457" s="57"/>
    </row>
    <row r="458" spans="1:9">
      <c r="A458" s="57"/>
      <c r="C458" s="57"/>
      <c r="D458" s="57"/>
      <c r="E458" s="57"/>
      <c r="F458" s="57"/>
      <c r="G458" s="57"/>
      <c r="H458" s="57"/>
      <c r="I458" s="57"/>
    </row>
    <row r="459" spans="1:9">
      <c r="A459" s="57"/>
      <c r="C459" s="57"/>
      <c r="D459" s="57"/>
      <c r="E459" s="57"/>
      <c r="F459" s="57"/>
      <c r="G459" s="57"/>
      <c r="H459" s="57"/>
      <c r="I459" s="57"/>
    </row>
    <row r="460" spans="1:9">
      <c r="A460" s="57"/>
      <c r="C460" s="57"/>
      <c r="D460" s="57"/>
      <c r="E460" s="57"/>
      <c r="F460" s="57"/>
      <c r="G460" s="57"/>
      <c r="H460" s="57"/>
      <c r="I460" s="57"/>
    </row>
    <row r="461" spans="1:9">
      <c r="A461" s="57"/>
      <c r="C461" s="57"/>
      <c r="D461" s="57"/>
      <c r="E461" s="57"/>
      <c r="F461" s="57"/>
      <c r="G461" s="57"/>
      <c r="H461" s="57"/>
      <c r="I461" s="57"/>
    </row>
    <row r="462" spans="1:9">
      <c r="A462" s="57"/>
      <c r="C462" s="57"/>
      <c r="D462" s="57"/>
      <c r="E462" s="57"/>
      <c r="F462" s="57"/>
      <c r="G462" s="57"/>
      <c r="H462" s="57"/>
      <c r="I462" s="57"/>
    </row>
    <row r="463" spans="1:9">
      <c r="A463" s="57"/>
      <c r="C463" s="57"/>
      <c r="D463" s="57"/>
      <c r="E463" s="57"/>
      <c r="F463" s="57"/>
      <c r="G463" s="57"/>
      <c r="H463" s="57"/>
      <c r="I463" s="57"/>
    </row>
    <row r="464" spans="1:9">
      <c r="A464" s="57"/>
      <c r="C464" s="57"/>
      <c r="D464" s="57"/>
      <c r="E464" s="57"/>
      <c r="F464" s="57"/>
      <c r="G464" s="57"/>
      <c r="H464" s="57"/>
      <c r="I464" s="57"/>
    </row>
    <row r="465" spans="1:9">
      <c r="A465" s="57"/>
      <c r="C465" s="57"/>
      <c r="D465" s="57"/>
      <c r="E465" s="57"/>
      <c r="F465" s="57"/>
      <c r="G465" s="57"/>
      <c r="H465" s="57"/>
      <c r="I465" s="57"/>
    </row>
    <row r="466" spans="1:9">
      <c r="A466" s="57"/>
      <c r="C466" s="57"/>
      <c r="D466" s="57"/>
      <c r="E466" s="57"/>
      <c r="F466" s="57"/>
      <c r="G466" s="57"/>
      <c r="H466" s="57"/>
      <c r="I466" s="57"/>
    </row>
    <row r="467" spans="1:9">
      <c r="A467" s="57"/>
      <c r="C467" s="57"/>
      <c r="D467" s="57"/>
      <c r="E467" s="57"/>
      <c r="F467" s="57"/>
      <c r="G467" s="57"/>
      <c r="H467" s="57"/>
      <c r="I467" s="57"/>
    </row>
    <row r="468" spans="1:9">
      <c r="A468" s="57"/>
      <c r="C468" s="57"/>
      <c r="D468" s="57"/>
      <c r="E468" s="57"/>
      <c r="F468" s="57"/>
      <c r="G468" s="57"/>
      <c r="H468" s="57"/>
      <c r="I468" s="57"/>
    </row>
  </sheetData>
  <autoFilter ref="A8:J295"/>
  <mergeCells count="208">
    <mergeCell ref="K267:K269"/>
    <mergeCell ref="F267:F269"/>
    <mergeCell ref="G267:G269"/>
    <mergeCell ref="H267:H269"/>
    <mergeCell ref="I267:I269"/>
    <mergeCell ref="J267:J269"/>
    <mergeCell ref="K200:K205"/>
    <mergeCell ref="A272:A274"/>
    <mergeCell ref="B272:B274"/>
    <mergeCell ref="C272:C274"/>
    <mergeCell ref="D272:D274"/>
    <mergeCell ref="E272:E274"/>
    <mergeCell ref="F272:F274"/>
    <mergeCell ref="G272:G274"/>
    <mergeCell ref="H272:H274"/>
    <mergeCell ref="I272:I274"/>
    <mergeCell ref="J272:J274"/>
    <mergeCell ref="A267:A269"/>
    <mergeCell ref="B267:B269"/>
    <mergeCell ref="C267:C269"/>
    <mergeCell ref="D267:D269"/>
    <mergeCell ref="E267:E269"/>
    <mergeCell ref="F200:F205"/>
    <mergeCell ref="G200:G205"/>
    <mergeCell ref="J200:J205"/>
    <mergeCell ref="A200:A205"/>
    <mergeCell ref="B200:B205"/>
    <mergeCell ref="C200:C205"/>
    <mergeCell ref="D200:D205"/>
    <mergeCell ref="E200:E205"/>
    <mergeCell ref="K193:K195"/>
    <mergeCell ref="A196:A199"/>
    <mergeCell ref="B196:B199"/>
    <mergeCell ref="C196:C199"/>
    <mergeCell ref="D196:D199"/>
    <mergeCell ref="E196:E199"/>
    <mergeCell ref="F196:F199"/>
    <mergeCell ref="G196:G199"/>
    <mergeCell ref="H196:H199"/>
    <mergeCell ref="I196:I199"/>
    <mergeCell ref="J196:J199"/>
    <mergeCell ref="K196:K199"/>
    <mergeCell ref="F193:F195"/>
    <mergeCell ref="G193:G195"/>
    <mergeCell ref="H193:H195"/>
    <mergeCell ref="I193:I195"/>
    <mergeCell ref="J193:J195"/>
    <mergeCell ref="A193:A195"/>
    <mergeCell ref="E193:E195"/>
    <mergeCell ref="J159:J161"/>
    <mergeCell ref="K159:K161"/>
    <mergeCell ref="A181:A184"/>
    <mergeCell ref="B181:B184"/>
    <mergeCell ref="C181:C184"/>
    <mergeCell ref="D181:D184"/>
    <mergeCell ref="E181:E184"/>
    <mergeCell ref="F181:F184"/>
    <mergeCell ref="G181:G184"/>
    <mergeCell ref="H181:H184"/>
    <mergeCell ref="I181:I184"/>
    <mergeCell ref="J181:J184"/>
    <mergeCell ref="K181:K184"/>
    <mergeCell ref="E159:E161"/>
    <mergeCell ref="F159:F161"/>
    <mergeCell ref="G159:G161"/>
    <mergeCell ref="H159:H161"/>
    <mergeCell ref="I159:I161"/>
    <mergeCell ref="K131:K133"/>
    <mergeCell ref="A162:A163"/>
    <mergeCell ref="B162:B163"/>
    <mergeCell ref="C162:C163"/>
    <mergeCell ref="D162:D163"/>
    <mergeCell ref="E162:E163"/>
    <mergeCell ref="F162:F163"/>
    <mergeCell ref="G162:G163"/>
    <mergeCell ref="H162:H163"/>
    <mergeCell ref="I162:I163"/>
    <mergeCell ref="J162:J163"/>
    <mergeCell ref="K162:K163"/>
    <mergeCell ref="A159:A161"/>
    <mergeCell ref="B159:B161"/>
    <mergeCell ref="C159:C161"/>
    <mergeCell ref="D159:D161"/>
    <mergeCell ref="F131:F133"/>
    <mergeCell ref="G131:G133"/>
    <mergeCell ref="H131:H133"/>
    <mergeCell ref="I131:I133"/>
    <mergeCell ref="J131:J133"/>
    <mergeCell ref="A131:A133"/>
    <mergeCell ref="B131:B133"/>
    <mergeCell ref="C131:C133"/>
    <mergeCell ref="K124:K125"/>
    <mergeCell ref="A126:A127"/>
    <mergeCell ref="B126:B127"/>
    <mergeCell ref="C126:C127"/>
    <mergeCell ref="D126:D127"/>
    <mergeCell ref="E126:E127"/>
    <mergeCell ref="F126:F127"/>
    <mergeCell ref="G126:G127"/>
    <mergeCell ref="H126:H127"/>
    <mergeCell ref="I126:I127"/>
    <mergeCell ref="J126:J127"/>
    <mergeCell ref="K126:K127"/>
    <mergeCell ref="F124:F125"/>
    <mergeCell ref="G124:G125"/>
    <mergeCell ref="H124:H125"/>
    <mergeCell ref="I124:I125"/>
    <mergeCell ref="J124:J125"/>
    <mergeCell ref="A124:A125"/>
    <mergeCell ref="B124:B125"/>
    <mergeCell ref="C124:C125"/>
    <mergeCell ref="D124:D125"/>
    <mergeCell ref="E124:E125"/>
    <mergeCell ref="D2:I2"/>
    <mergeCell ref="D7:I7"/>
    <mergeCell ref="F112:F115"/>
    <mergeCell ref="G112:G115"/>
    <mergeCell ref="H112:H115"/>
    <mergeCell ref="B221:C221"/>
    <mergeCell ref="K116:K119"/>
    <mergeCell ref="A120:A123"/>
    <mergeCell ref="B120:B123"/>
    <mergeCell ref="C120:C123"/>
    <mergeCell ref="D120:D123"/>
    <mergeCell ref="E120:E123"/>
    <mergeCell ref="F120:F123"/>
    <mergeCell ref="G120:G123"/>
    <mergeCell ref="H120:H123"/>
    <mergeCell ref="I120:I123"/>
    <mergeCell ref="J120:J123"/>
    <mergeCell ref="K120:K123"/>
    <mergeCell ref="F116:F119"/>
    <mergeCell ref="G116:G119"/>
    <mergeCell ref="H116:H119"/>
    <mergeCell ref="I116:I119"/>
    <mergeCell ref="J116:J119"/>
    <mergeCell ref="A116:A119"/>
    <mergeCell ref="C112:C115"/>
    <mergeCell ref="D112:D115"/>
    <mergeCell ref="E112:E115"/>
    <mergeCell ref="A296:G296"/>
    <mergeCell ref="B285:D285"/>
    <mergeCell ref="B3:C3"/>
    <mergeCell ref="C6:I6"/>
    <mergeCell ref="A97:A99"/>
    <mergeCell ref="B97:B99"/>
    <mergeCell ref="C97:C99"/>
    <mergeCell ref="D97:D99"/>
    <mergeCell ref="E97:E99"/>
    <mergeCell ref="F97:F99"/>
    <mergeCell ref="G97:G99"/>
    <mergeCell ref="H97:H99"/>
    <mergeCell ref="I97:I99"/>
    <mergeCell ref="B116:B119"/>
    <mergeCell ref="C116:C119"/>
    <mergeCell ref="D116:D119"/>
    <mergeCell ref="E116:E119"/>
    <mergeCell ref="D131:D133"/>
    <mergeCell ref="E131:E133"/>
    <mergeCell ref="H200:H205"/>
    <mergeCell ref="I200:I205"/>
    <mergeCell ref="B111:D111"/>
    <mergeCell ref="B135:D135"/>
    <mergeCell ref="B172:D172"/>
    <mergeCell ref="B176:D176"/>
    <mergeCell ref="B178:D178"/>
    <mergeCell ref="H296:J296"/>
    <mergeCell ref="J97:J99"/>
    <mergeCell ref="K97:K99"/>
    <mergeCell ref="A107:A108"/>
    <mergeCell ref="B107:B108"/>
    <mergeCell ref="C107:C108"/>
    <mergeCell ref="D107:D108"/>
    <mergeCell ref="E107:E108"/>
    <mergeCell ref="F107:F108"/>
    <mergeCell ref="G107:G108"/>
    <mergeCell ref="H107:H108"/>
    <mergeCell ref="I107:I108"/>
    <mergeCell ref="J107:J108"/>
    <mergeCell ref="K107:K108"/>
    <mergeCell ref="I112:I115"/>
    <mergeCell ref="J112:J115"/>
    <mergeCell ref="K112:K115"/>
    <mergeCell ref="A112:A115"/>
    <mergeCell ref="B112:B115"/>
    <mergeCell ref="B10:D10"/>
    <mergeCell ref="B27:D27"/>
    <mergeCell ref="B37:D37"/>
    <mergeCell ref="B57:D57"/>
    <mergeCell ref="B58:D58"/>
    <mergeCell ref="B69:D69"/>
    <mergeCell ref="B80:D80"/>
    <mergeCell ref="B91:D91"/>
    <mergeCell ref="B92:D92"/>
    <mergeCell ref="B302:C302"/>
    <mergeCell ref="B271:D271"/>
    <mergeCell ref="B265:D265"/>
    <mergeCell ref="B187:D187"/>
    <mergeCell ref="B233:D233"/>
    <mergeCell ref="B225:D225"/>
    <mergeCell ref="B226:D226"/>
    <mergeCell ref="B208:D208"/>
    <mergeCell ref="B191:D191"/>
    <mergeCell ref="B284:D284"/>
    <mergeCell ref="B282:D282"/>
    <mergeCell ref="B193:B195"/>
    <mergeCell ref="C193:C195"/>
    <mergeCell ref="D193:D195"/>
  </mergeCells>
  <phoneticPr fontId="2" type="noConversion"/>
  <pageMargins left="0.31496062992125984" right="0" top="0.39370078740157483" bottom="0.39370078740157483" header="0" footer="0"/>
  <pageSetup paperSize="8" scale="82" fitToHeight="0" orientation="portrait" r:id="rId1"/>
  <headerFooter alignWithMargins="0"/>
  <customProperties>
    <customPr name="_pios_id" r:id="rId2"/>
  </customPropertie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55"/>
  <sheetViews>
    <sheetView topLeftCell="A4" workbookViewId="0">
      <selection activeCell="F99" sqref="F99"/>
    </sheetView>
  </sheetViews>
  <sheetFormatPr defaultColWidth="8.85546875" defaultRowHeight="12.75"/>
  <cols>
    <col min="1" max="3" width="8.85546875" customWidth="1"/>
    <col min="4" max="4" width="23.5703125" customWidth="1"/>
    <col min="5" max="5" width="8.85546875" customWidth="1"/>
    <col min="6" max="6" width="16.140625" customWidth="1"/>
    <col min="7" max="7" width="7.42578125" customWidth="1"/>
    <col min="8" max="8" width="26.5703125" style="4" customWidth="1"/>
    <col min="11" max="11" width="16.42578125" customWidth="1"/>
    <col min="13" max="13" width="10.140625" bestFit="1" customWidth="1"/>
  </cols>
  <sheetData>
    <row r="3" spans="2:13">
      <c r="H3" s="1"/>
      <c r="I3" s="2"/>
    </row>
    <row r="5" spans="2:13">
      <c r="H5" s="1"/>
      <c r="I5" s="2"/>
      <c r="L5" t="s">
        <v>469</v>
      </c>
    </row>
    <row r="6" spans="2:13">
      <c r="B6" s="3"/>
      <c r="C6" s="3"/>
      <c r="D6" s="3"/>
      <c r="E6" s="3" t="s">
        <v>470</v>
      </c>
      <c r="F6" s="3"/>
      <c r="G6" s="3"/>
    </row>
    <row r="7" spans="2:13" ht="13.5" thickBot="1">
      <c r="B7" s="3"/>
      <c r="C7" s="3"/>
      <c r="D7" s="3"/>
      <c r="E7" s="3" t="s">
        <v>471</v>
      </c>
      <c r="F7" s="3" t="s">
        <v>472</v>
      </c>
      <c r="G7" s="3" t="s">
        <v>473</v>
      </c>
      <c r="H7" s="4" t="s">
        <v>474</v>
      </c>
      <c r="K7" s="37" t="s">
        <v>475</v>
      </c>
      <c r="L7" s="36">
        <v>32.11</v>
      </c>
      <c r="M7" s="40">
        <v>43201</v>
      </c>
    </row>
    <row r="8" spans="2:13" ht="13.5" thickBot="1">
      <c r="B8" s="5" t="s">
        <v>476</v>
      </c>
      <c r="C8" s="6" t="s">
        <v>477</v>
      </c>
      <c r="D8" s="7"/>
      <c r="E8" s="200">
        <f t="shared" ref="E8:E19" si="0">F8+G8</f>
        <v>706</v>
      </c>
      <c r="F8" s="8">
        <v>85</v>
      </c>
      <c r="G8" s="43">
        <f>450*1.38</f>
        <v>621</v>
      </c>
      <c r="H8" s="42" t="s">
        <v>478</v>
      </c>
      <c r="J8" t="s">
        <v>479</v>
      </c>
      <c r="K8" s="37" t="s">
        <v>480</v>
      </c>
      <c r="L8" s="36">
        <v>25.98</v>
      </c>
      <c r="M8" s="40">
        <v>43201</v>
      </c>
    </row>
    <row r="9" spans="2:13" ht="13.5" thickBot="1">
      <c r="B9" s="10" t="s">
        <v>476</v>
      </c>
      <c r="C9" s="201" t="s">
        <v>481</v>
      </c>
      <c r="D9" s="202"/>
      <c r="E9" s="200">
        <f t="shared" si="0"/>
        <v>706</v>
      </c>
      <c r="F9" s="203">
        <v>85</v>
      </c>
      <c r="G9" s="43">
        <f>460*1.35</f>
        <v>621</v>
      </c>
      <c r="H9" s="42" t="s">
        <v>478</v>
      </c>
      <c r="J9" t="s">
        <v>482</v>
      </c>
      <c r="K9" s="37" t="s">
        <v>483</v>
      </c>
      <c r="L9" s="36">
        <v>0.42</v>
      </c>
      <c r="M9" s="40">
        <v>43201</v>
      </c>
    </row>
    <row r="10" spans="2:13" ht="13.5" thickBot="1">
      <c r="B10" s="10" t="s">
        <v>476</v>
      </c>
      <c r="C10" s="201" t="s">
        <v>484</v>
      </c>
      <c r="D10" s="202"/>
      <c r="E10" s="200">
        <f t="shared" si="0"/>
        <v>189.05999999999997</v>
      </c>
      <c r="F10" s="203">
        <v>0</v>
      </c>
      <c r="G10" s="9">
        <f>137*1.38</f>
        <v>189.05999999999997</v>
      </c>
      <c r="H10" s="4" t="s">
        <v>485</v>
      </c>
      <c r="J10" t="s">
        <v>486</v>
      </c>
      <c r="K10" s="38"/>
    </row>
    <row r="11" spans="2:13">
      <c r="B11" s="10" t="s">
        <v>476</v>
      </c>
      <c r="C11" s="201" t="s">
        <v>487</v>
      </c>
      <c r="D11" s="202"/>
      <c r="E11" s="200">
        <f t="shared" si="0"/>
        <v>326.39999999999998</v>
      </c>
      <c r="F11" s="203">
        <v>85</v>
      </c>
      <c r="G11" s="43">
        <f>170*1.42</f>
        <v>241.39999999999998</v>
      </c>
      <c r="H11" s="42" t="s">
        <v>478</v>
      </c>
      <c r="J11" t="s">
        <v>488</v>
      </c>
    </row>
    <row r="12" spans="2:13">
      <c r="B12" s="10" t="s">
        <v>476</v>
      </c>
      <c r="C12" s="201" t="s">
        <v>489</v>
      </c>
      <c r="D12" s="202"/>
      <c r="E12" s="204"/>
      <c r="F12" s="203">
        <v>30</v>
      </c>
      <c r="G12" s="11">
        <v>50</v>
      </c>
      <c r="K12" s="37" t="s">
        <v>490</v>
      </c>
    </row>
    <row r="13" spans="2:13">
      <c r="B13" s="10" t="s">
        <v>476</v>
      </c>
      <c r="C13" s="201" t="s">
        <v>491</v>
      </c>
      <c r="D13" s="202"/>
      <c r="E13" s="200">
        <f t="shared" si="0"/>
        <v>1680</v>
      </c>
      <c r="F13" s="203">
        <v>170</v>
      </c>
      <c r="G13" s="41">
        <v>1510</v>
      </c>
      <c r="K13" s="37" t="s">
        <v>492</v>
      </c>
    </row>
    <row r="14" spans="2:13">
      <c r="B14" s="10" t="s">
        <v>476</v>
      </c>
      <c r="C14" s="201" t="s">
        <v>493</v>
      </c>
      <c r="D14" s="202"/>
      <c r="E14" s="200">
        <f t="shared" si="0"/>
        <v>1860</v>
      </c>
      <c r="F14" s="203">
        <v>170</v>
      </c>
      <c r="G14" s="41">
        <v>1690</v>
      </c>
    </row>
    <row r="15" spans="2:13">
      <c r="B15" s="10" t="s">
        <v>476</v>
      </c>
      <c r="C15" s="201" t="s">
        <v>494</v>
      </c>
      <c r="D15" s="202"/>
      <c r="E15" s="200">
        <f t="shared" si="0"/>
        <v>2020</v>
      </c>
      <c r="F15" s="203">
        <v>170</v>
      </c>
      <c r="G15" s="41">
        <v>1850</v>
      </c>
      <c r="H15" s="34"/>
    </row>
    <row r="16" spans="2:13">
      <c r="B16" s="10" t="s">
        <v>476</v>
      </c>
      <c r="C16" s="201" t="s">
        <v>495</v>
      </c>
      <c r="D16" s="202"/>
      <c r="E16" s="204">
        <f t="shared" si="0"/>
        <v>2760</v>
      </c>
      <c r="F16" s="203">
        <v>160</v>
      </c>
      <c r="G16" s="11">
        <v>2600</v>
      </c>
      <c r="H16" s="34"/>
    </row>
    <row r="17" spans="2:12">
      <c r="B17" s="10" t="s">
        <v>476</v>
      </c>
      <c r="C17" s="201" t="s">
        <v>496</v>
      </c>
      <c r="D17" s="202"/>
      <c r="E17" s="200">
        <f t="shared" si="0"/>
        <v>275</v>
      </c>
      <c r="F17" s="203">
        <v>85</v>
      </c>
      <c r="G17" s="11">
        <f>190</f>
        <v>190</v>
      </c>
      <c r="H17" s="4" t="s">
        <v>497</v>
      </c>
      <c r="J17" t="s">
        <v>482</v>
      </c>
      <c r="K17" s="44">
        <v>985831000</v>
      </c>
    </row>
    <row r="18" spans="2:12">
      <c r="B18" s="10" t="s">
        <v>498</v>
      </c>
      <c r="C18" s="201" t="s">
        <v>499</v>
      </c>
      <c r="D18" s="202"/>
      <c r="E18" s="200">
        <f t="shared" si="0"/>
        <v>22035</v>
      </c>
      <c r="F18" s="203">
        <v>350</v>
      </c>
      <c r="G18" s="41">
        <v>21685</v>
      </c>
    </row>
    <row r="19" spans="2:12" ht="13.5" thickBot="1">
      <c r="B19" s="12" t="s">
        <v>498</v>
      </c>
      <c r="C19" s="13" t="s">
        <v>500</v>
      </c>
      <c r="D19" s="14"/>
      <c r="E19" s="35">
        <f t="shared" si="0"/>
        <v>1080</v>
      </c>
      <c r="F19" s="15">
        <v>100</v>
      </c>
      <c r="G19" s="16">
        <v>980</v>
      </c>
    </row>
    <row r="20" spans="2:12">
      <c r="B20" s="17"/>
      <c r="D20" s="18"/>
      <c r="E20" s="19"/>
      <c r="F20" s="18"/>
      <c r="G20" s="18"/>
    </row>
    <row r="21" spans="2:12">
      <c r="B21" s="18"/>
      <c r="C21" s="18"/>
      <c r="D21" s="18"/>
      <c r="E21" s="18"/>
      <c r="F21" s="18"/>
      <c r="G21" s="18"/>
    </row>
    <row r="22" spans="2:12">
      <c r="B22" s="18"/>
      <c r="C22" s="18"/>
      <c r="D22" s="18"/>
      <c r="E22" s="18"/>
      <c r="F22" s="18"/>
      <c r="G22" s="18"/>
    </row>
    <row r="23" spans="2:12" ht="26.25" thickBot="1">
      <c r="B23" s="12" t="s">
        <v>501</v>
      </c>
      <c r="C23" s="14" t="s">
        <v>502</v>
      </c>
      <c r="D23" s="14"/>
      <c r="E23" s="20">
        <f>F23+G23</f>
        <v>20</v>
      </c>
      <c r="F23" s="15">
        <v>5</v>
      </c>
      <c r="G23" s="16">
        <v>15</v>
      </c>
      <c r="J23" s="22" t="s">
        <v>503</v>
      </c>
      <c r="K23" t="s">
        <v>504</v>
      </c>
    </row>
    <row r="24" spans="2:12">
      <c r="B24" s="18" t="s">
        <v>29</v>
      </c>
      <c r="C24" s="18" t="s">
        <v>505</v>
      </c>
      <c r="D24" s="18"/>
      <c r="E24" s="18">
        <f>F24+G24</f>
        <v>964.85</v>
      </c>
      <c r="F24" s="18">
        <f>15%*G24</f>
        <v>125.85</v>
      </c>
      <c r="G24" s="18">
        <v>839</v>
      </c>
      <c r="H24" s="4">
        <v>0.55000000000000004</v>
      </c>
      <c r="I24" t="s">
        <v>506</v>
      </c>
      <c r="J24">
        <v>10</v>
      </c>
      <c r="K24" s="21">
        <f>J24*E24</f>
        <v>9648.5</v>
      </c>
      <c r="L24" s="4" t="s">
        <v>507</v>
      </c>
    </row>
    <row r="25" spans="2:12">
      <c r="B25" s="18" t="s">
        <v>29</v>
      </c>
      <c r="C25" s="18" t="s">
        <v>508</v>
      </c>
      <c r="D25" s="18"/>
      <c r="E25" s="18">
        <f t="shared" ref="E25:E53" si="1">F25+G25</f>
        <v>466.9</v>
      </c>
      <c r="F25" s="18">
        <f t="shared" ref="F25:F47" si="2">15%*G25</f>
        <v>60.9</v>
      </c>
      <c r="G25" s="18">
        <v>406</v>
      </c>
      <c r="H25" s="4">
        <v>0.25</v>
      </c>
      <c r="I25" t="s">
        <v>506</v>
      </c>
      <c r="J25">
        <v>1</v>
      </c>
      <c r="K25" s="21">
        <f t="shared" ref="K25:K34" si="3">J25*E25</f>
        <v>466.9</v>
      </c>
    </row>
    <row r="26" spans="2:12">
      <c r="B26" s="18" t="s">
        <v>29</v>
      </c>
      <c r="C26" s="18" t="s">
        <v>509</v>
      </c>
      <c r="D26" s="18"/>
      <c r="E26" s="18">
        <f t="shared" si="1"/>
        <v>466.9</v>
      </c>
      <c r="F26" s="18">
        <f t="shared" si="2"/>
        <v>60.9</v>
      </c>
      <c r="G26" s="18">
        <v>406</v>
      </c>
      <c r="H26" s="4">
        <v>0.17</v>
      </c>
      <c r="I26" t="s">
        <v>506</v>
      </c>
      <c r="J26">
        <v>1</v>
      </c>
      <c r="K26" s="21">
        <f t="shared" si="3"/>
        <v>466.9</v>
      </c>
    </row>
    <row r="27" spans="2:12">
      <c r="B27" s="18" t="s">
        <v>29</v>
      </c>
      <c r="C27" s="18" t="s">
        <v>510</v>
      </c>
      <c r="D27" s="18"/>
      <c r="E27" s="18">
        <f t="shared" si="1"/>
        <v>788.9</v>
      </c>
      <c r="F27" s="18">
        <f t="shared" si="2"/>
        <v>102.89999999999999</v>
      </c>
      <c r="G27" s="18">
        <v>686</v>
      </c>
      <c r="H27" s="4">
        <v>0.46</v>
      </c>
      <c r="I27" t="s">
        <v>506</v>
      </c>
      <c r="J27">
        <v>19</v>
      </c>
      <c r="K27" s="21">
        <f t="shared" si="3"/>
        <v>14989.1</v>
      </c>
    </row>
    <row r="28" spans="2:12">
      <c r="B28" s="18" t="s">
        <v>29</v>
      </c>
      <c r="C28" s="18" t="s">
        <v>511</v>
      </c>
      <c r="D28" s="18"/>
      <c r="E28" s="18">
        <f t="shared" si="1"/>
        <v>391</v>
      </c>
      <c r="F28" s="18">
        <f t="shared" si="2"/>
        <v>51</v>
      </c>
      <c r="G28" s="18">
        <v>340</v>
      </c>
      <c r="H28" s="4">
        <v>0.22</v>
      </c>
      <c r="I28" t="s">
        <v>506</v>
      </c>
      <c r="J28">
        <v>2</v>
      </c>
      <c r="K28" s="21">
        <f t="shared" si="3"/>
        <v>782</v>
      </c>
    </row>
    <row r="29" spans="2:12">
      <c r="B29" s="18" t="s">
        <v>29</v>
      </c>
      <c r="C29" s="18" t="s">
        <v>512</v>
      </c>
      <c r="D29" s="18"/>
      <c r="E29" s="18">
        <f t="shared" si="1"/>
        <v>920</v>
      </c>
      <c r="F29" s="18">
        <f t="shared" si="2"/>
        <v>120</v>
      </c>
      <c r="G29" s="18">
        <v>800</v>
      </c>
      <c r="H29" s="4">
        <v>0.57999999999999996</v>
      </c>
      <c r="I29" t="s">
        <v>506</v>
      </c>
      <c r="J29">
        <v>114</v>
      </c>
      <c r="K29" s="21">
        <f t="shared" si="3"/>
        <v>104880</v>
      </c>
    </row>
    <row r="30" spans="2:12">
      <c r="B30" s="18" t="s">
        <v>29</v>
      </c>
      <c r="C30" s="18" t="s">
        <v>513</v>
      </c>
      <c r="D30" s="18"/>
      <c r="E30" s="18">
        <f t="shared" si="1"/>
        <v>234.6</v>
      </c>
      <c r="F30" s="18">
        <f t="shared" si="2"/>
        <v>30.599999999999998</v>
      </c>
      <c r="G30" s="18">
        <v>204</v>
      </c>
      <c r="H30" s="4">
        <v>0.28999999999999998</v>
      </c>
      <c r="I30" t="s">
        <v>506</v>
      </c>
      <c r="J30">
        <v>35</v>
      </c>
      <c r="K30" s="21">
        <f t="shared" si="3"/>
        <v>8211</v>
      </c>
    </row>
    <row r="31" spans="2:12">
      <c r="B31" s="18" t="s">
        <v>29</v>
      </c>
      <c r="C31" s="18" t="s">
        <v>514</v>
      </c>
      <c r="D31" s="18"/>
      <c r="E31" s="18">
        <f t="shared" si="1"/>
        <v>782</v>
      </c>
      <c r="F31" s="18">
        <f t="shared" si="2"/>
        <v>102</v>
      </c>
      <c r="G31" s="18">
        <v>680</v>
      </c>
      <c r="H31" s="4">
        <v>0.22</v>
      </c>
      <c r="I31" t="s">
        <v>506</v>
      </c>
      <c r="J31">
        <v>35</v>
      </c>
      <c r="K31" s="21">
        <f t="shared" si="3"/>
        <v>27370</v>
      </c>
    </row>
    <row r="32" spans="2:12">
      <c r="B32" s="18" t="s">
        <v>29</v>
      </c>
      <c r="C32" s="18" t="s">
        <v>515</v>
      </c>
      <c r="D32" s="18"/>
      <c r="E32" s="18">
        <f t="shared" si="1"/>
        <v>234.6</v>
      </c>
      <c r="F32" s="18">
        <f t="shared" si="2"/>
        <v>30.599999999999998</v>
      </c>
      <c r="G32" s="18">
        <v>204</v>
      </c>
      <c r="H32" s="4">
        <v>0.14000000000000001</v>
      </c>
      <c r="I32" t="s">
        <v>506</v>
      </c>
      <c r="J32">
        <v>38</v>
      </c>
      <c r="K32" s="21">
        <f t="shared" si="3"/>
        <v>8914.7999999999993</v>
      </c>
    </row>
    <row r="33" spans="2:12">
      <c r="B33" s="18" t="s">
        <v>29</v>
      </c>
      <c r="C33" t="s">
        <v>516</v>
      </c>
      <c r="E33" s="18">
        <f t="shared" si="1"/>
        <v>379.5</v>
      </c>
      <c r="F33" s="18">
        <f t="shared" si="2"/>
        <v>49.5</v>
      </c>
      <c r="G33" s="18">
        <v>330</v>
      </c>
      <c r="H33" s="4">
        <v>0.43</v>
      </c>
      <c r="I33" t="s">
        <v>506</v>
      </c>
      <c r="J33">
        <v>11</v>
      </c>
      <c r="K33" s="21">
        <f t="shared" si="3"/>
        <v>4174.5</v>
      </c>
    </row>
    <row r="34" spans="2:12">
      <c r="B34" s="18" t="s">
        <v>29</v>
      </c>
      <c r="C34" t="s">
        <v>517</v>
      </c>
      <c r="E34" s="18">
        <f t="shared" si="1"/>
        <v>161</v>
      </c>
      <c r="F34" s="18">
        <f t="shared" si="2"/>
        <v>21</v>
      </c>
      <c r="G34" s="18">
        <v>140</v>
      </c>
      <c r="H34" s="4">
        <v>0.16</v>
      </c>
      <c r="I34" t="s">
        <v>506</v>
      </c>
      <c r="J34">
        <v>11</v>
      </c>
      <c r="K34" s="21">
        <f t="shared" si="3"/>
        <v>1771</v>
      </c>
    </row>
    <row r="35" spans="2:12">
      <c r="E35" s="18">
        <f t="shared" si="1"/>
        <v>0</v>
      </c>
      <c r="F35" s="18">
        <f t="shared" si="2"/>
        <v>0</v>
      </c>
    </row>
    <row r="36" spans="2:12">
      <c r="B36" s="18" t="s">
        <v>29</v>
      </c>
      <c r="C36" t="s">
        <v>518</v>
      </c>
      <c r="E36" s="18">
        <f t="shared" si="1"/>
        <v>3680</v>
      </c>
      <c r="F36" s="18">
        <f t="shared" si="2"/>
        <v>480</v>
      </c>
      <c r="G36" s="18">
        <v>3200</v>
      </c>
    </row>
    <row r="37" spans="2:12">
      <c r="B37" s="18" t="s">
        <v>29</v>
      </c>
      <c r="C37" t="s">
        <v>519</v>
      </c>
      <c r="E37" s="18">
        <f t="shared" si="1"/>
        <v>3156.75</v>
      </c>
      <c r="F37" s="18">
        <f t="shared" si="2"/>
        <v>411.75</v>
      </c>
      <c r="G37" s="18">
        <v>2745</v>
      </c>
    </row>
    <row r="38" spans="2:12">
      <c r="B38" s="18" t="s">
        <v>29</v>
      </c>
      <c r="C38" t="s">
        <v>519</v>
      </c>
      <c r="E38" s="18">
        <f t="shared" si="1"/>
        <v>3410.9</v>
      </c>
      <c r="F38" s="18">
        <f t="shared" si="2"/>
        <v>444.9</v>
      </c>
      <c r="G38" s="18">
        <v>2966</v>
      </c>
      <c r="I38" s="831" t="s">
        <v>520</v>
      </c>
      <c r="J38" s="831"/>
      <c r="K38" s="831"/>
    </row>
    <row r="39" spans="2:12">
      <c r="E39" s="18">
        <f t="shared" si="1"/>
        <v>0</v>
      </c>
      <c r="F39" s="18">
        <f t="shared" si="2"/>
        <v>0</v>
      </c>
      <c r="J39" t="s">
        <v>521</v>
      </c>
      <c r="K39" t="s">
        <v>522</v>
      </c>
      <c r="L39" t="s">
        <v>523</v>
      </c>
    </row>
    <row r="40" spans="2:12">
      <c r="B40" s="18" t="s">
        <v>29</v>
      </c>
      <c r="C40" t="s">
        <v>524</v>
      </c>
      <c r="E40" s="18">
        <f t="shared" si="1"/>
        <v>193.2</v>
      </c>
      <c r="F40" s="18">
        <f t="shared" si="2"/>
        <v>25.2</v>
      </c>
      <c r="G40" s="18">
        <f>56*3</f>
        <v>168</v>
      </c>
      <c r="I40" t="s">
        <v>525</v>
      </c>
      <c r="J40" s="39">
        <v>550</v>
      </c>
      <c r="K40" s="39">
        <v>820</v>
      </c>
      <c r="L40">
        <v>1200</v>
      </c>
    </row>
    <row r="41" spans="2:12">
      <c r="B41" s="18" t="s">
        <v>29</v>
      </c>
      <c r="C41" t="s">
        <v>526</v>
      </c>
      <c r="E41" s="33">
        <f t="shared" si="1"/>
        <v>345</v>
      </c>
      <c r="F41" s="18">
        <f t="shared" si="2"/>
        <v>45</v>
      </c>
      <c r="G41" s="18">
        <f>100*3</f>
        <v>300</v>
      </c>
      <c r="I41" t="s">
        <v>527</v>
      </c>
      <c r="J41" s="39">
        <v>650</v>
      </c>
      <c r="K41" s="39">
        <v>850</v>
      </c>
      <c r="L41">
        <v>1280</v>
      </c>
    </row>
    <row r="42" spans="2:12">
      <c r="B42" s="18" t="s">
        <v>29</v>
      </c>
      <c r="C42" t="s">
        <v>528</v>
      </c>
      <c r="E42" s="18">
        <f t="shared" si="1"/>
        <v>267.375</v>
      </c>
      <c r="F42" s="18">
        <f t="shared" si="2"/>
        <v>34.875</v>
      </c>
      <c r="G42" s="18">
        <f>93*2.5</f>
        <v>232.5</v>
      </c>
      <c r="I42" t="s">
        <v>529</v>
      </c>
      <c r="J42" s="39">
        <v>720</v>
      </c>
      <c r="K42" s="39">
        <v>850</v>
      </c>
      <c r="L42">
        <v>1280</v>
      </c>
    </row>
    <row r="43" spans="2:12">
      <c r="B43" s="18" t="s">
        <v>29</v>
      </c>
      <c r="C43" t="s">
        <v>530</v>
      </c>
      <c r="E43" s="33">
        <f t="shared" si="1"/>
        <v>161</v>
      </c>
      <c r="F43" s="18">
        <f t="shared" si="2"/>
        <v>21</v>
      </c>
      <c r="G43" s="18">
        <v>140</v>
      </c>
    </row>
    <row r="44" spans="2:12">
      <c r="B44" s="18" t="s">
        <v>29</v>
      </c>
      <c r="C44" t="s">
        <v>531</v>
      </c>
      <c r="E44" s="18">
        <f t="shared" si="1"/>
        <v>538.20000000000005</v>
      </c>
      <c r="F44" s="18">
        <f t="shared" si="2"/>
        <v>70.2</v>
      </c>
      <c r="G44" s="18">
        <v>468</v>
      </c>
    </row>
    <row r="45" spans="2:12">
      <c r="B45" s="18" t="s">
        <v>29</v>
      </c>
      <c r="C45" t="s">
        <v>532</v>
      </c>
      <c r="E45" s="18">
        <f t="shared" si="1"/>
        <v>232.3</v>
      </c>
      <c r="F45" s="18">
        <f t="shared" si="2"/>
        <v>30.299999999999997</v>
      </c>
      <c r="G45" s="18">
        <v>202</v>
      </c>
    </row>
    <row r="46" spans="2:12">
      <c r="B46" s="18" t="s">
        <v>29</v>
      </c>
      <c r="C46" t="s">
        <v>533</v>
      </c>
      <c r="E46" s="18">
        <f t="shared" si="1"/>
        <v>98.9</v>
      </c>
      <c r="F46" s="18">
        <f t="shared" si="2"/>
        <v>12.9</v>
      </c>
      <c r="G46" s="18">
        <v>86</v>
      </c>
    </row>
    <row r="47" spans="2:12">
      <c r="E47" s="18">
        <f t="shared" si="1"/>
        <v>0</v>
      </c>
      <c r="F47" s="18">
        <f t="shared" si="2"/>
        <v>0</v>
      </c>
    </row>
    <row r="48" spans="2:12">
      <c r="B48" s="18" t="s">
        <v>33</v>
      </c>
      <c r="C48" t="s">
        <v>534</v>
      </c>
      <c r="E48" s="18">
        <f t="shared" si="1"/>
        <v>69</v>
      </c>
      <c r="F48" s="18">
        <v>14</v>
      </c>
      <c r="G48" s="18">
        <v>55</v>
      </c>
    </row>
    <row r="49" spans="2:7">
      <c r="B49" s="18" t="s">
        <v>33</v>
      </c>
      <c r="C49" t="s">
        <v>535</v>
      </c>
      <c r="E49" s="18">
        <f t="shared" si="1"/>
        <v>183</v>
      </c>
      <c r="F49" s="18">
        <v>13</v>
      </c>
      <c r="G49" s="18">
        <v>170</v>
      </c>
    </row>
    <row r="50" spans="2:7">
      <c r="B50" s="18" t="s">
        <v>536</v>
      </c>
      <c r="C50" t="s">
        <v>537</v>
      </c>
      <c r="E50" s="18">
        <f t="shared" si="1"/>
        <v>400</v>
      </c>
      <c r="F50" s="18">
        <v>20</v>
      </c>
      <c r="G50" s="18">
        <v>380</v>
      </c>
    </row>
    <row r="51" spans="2:7">
      <c r="B51" s="18" t="s">
        <v>538</v>
      </c>
      <c r="C51" t="s">
        <v>539</v>
      </c>
      <c r="E51" s="18">
        <f t="shared" si="1"/>
        <v>42.8</v>
      </c>
      <c r="F51" s="18">
        <f>7%*G51</f>
        <v>2.8000000000000003</v>
      </c>
      <c r="G51" s="18">
        <v>40</v>
      </c>
    </row>
    <row r="52" spans="2:7">
      <c r="B52" s="18" t="s">
        <v>538</v>
      </c>
      <c r="C52" t="s">
        <v>540</v>
      </c>
      <c r="E52" s="18">
        <f t="shared" si="1"/>
        <v>53.5</v>
      </c>
      <c r="F52" s="18">
        <f>7%*G52</f>
        <v>3.5000000000000004</v>
      </c>
      <c r="G52" s="18">
        <v>50</v>
      </c>
    </row>
    <row r="53" spans="2:7">
      <c r="B53" s="18" t="s">
        <v>538</v>
      </c>
      <c r="C53" t="s">
        <v>541</v>
      </c>
      <c r="E53" s="18">
        <f t="shared" si="1"/>
        <v>8.56</v>
      </c>
      <c r="F53" s="18">
        <f>7%*G53</f>
        <v>0.56000000000000005</v>
      </c>
      <c r="G53" s="18">
        <v>8</v>
      </c>
    </row>
    <row r="55" spans="2:7">
      <c r="D55" t="s">
        <v>542</v>
      </c>
      <c r="E55">
        <v>10.75</v>
      </c>
      <c r="F55">
        <f>E55*27.51</f>
        <v>295.73250000000002</v>
      </c>
    </row>
  </sheetData>
  <mergeCells count="1">
    <mergeCell ref="I38:K38"/>
  </mergeCells>
  <phoneticPr fontId="2" type="noConversion"/>
  <hyperlinks>
    <hyperlink ref="H8" r:id="rId1" display="https://www.karer.in.ua/zaporozhskoe-kareroupravlenie.php"/>
    <hyperlink ref="H9" r:id="rId2" display="https://www.karer.in.ua/zaporozhskoe-kareroupravlenie.php"/>
    <hyperlink ref="H11" r:id="rId3" display="https://www.karer.in.ua/zaporozhskoe-kareroupravlenie.php"/>
  </hyperlinks>
  <pageMargins left="0.75" right="0.75" top="1" bottom="1" header="0.5" footer="0.5"/>
  <pageSetup paperSize="9" orientation="portrait" r:id="rId4"/>
  <headerFooter alignWithMargins="0"/>
  <customProperties>
    <customPr name="_pios_id" r:id="rId5"/>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68"/>
  <sheetViews>
    <sheetView topLeftCell="A43" zoomScale="120" zoomScaleNormal="120" workbookViewId="0">
      <selection activeCell="G58" sqref="G58"/>
    </sheetView>
  </sheetViews>
  <sheetFormatPr defaultColWidth="8.140625" defaultRowHeight="14.25"/>
  <cols>
    <col min="1" max="1" width="5.140625" style="62" customWidth="1"/>
    <col min="2" max="2" width="59.42578125" style="62" customWidth="1"/>
    <col min="3" max="5" width="12.5703125" style="62" customWidth="1"/>
    <col min="6" max="6" width="10.42578125" style="62" customWidth="1"/>
    <col min="7" max="7" width="8.140625" style="62"/>
    <col min="8" max="9" width="8.42578125" style="62" bestFit="1" customWidth="1"/>
    <col min="10" max="16384" width="8.140625" style="62"/>
  </cols>
  <sheetData>
    <row r="1" spans="1:12" ht="36" customHeight="1">
      <c r="A1" s="832" t="s">
        <v>543</v>
      </c>
      <c r="B1" s="833"/>
      <c r="C1" s="833"/>
      <c r="D1" s="833"/>
      <c r="E1" s="833"/>
    </row>
    <row r="2" spans="1:12" ht="41.45" customHeight="1">
      <c r="A2" s="64" t="s">
        <v>544</v>
      </c>
      <c r="B2" s="64" t="s">
        <v>545</v>
      </c>
      <c r="C2" s="64" t="s">
        <v>546</v>
      </c>
      <c r="D2" s="64" t="s">
        <v>547</v>
      </c>
      <c r="E2" s="64" t="s">
        <v>548</v>
      </c>
      <c r="F2" s="64" t="s">
        <v>549</v>
      </c>
      <c r="G2" s="66"/>
      <c r="I2" s="66"/>
      <c r="L2" s="66" t="s">
        <v>550</v>
      </c>
    </row>
    <row r="3" spans="1:12" ht="17.100000000000001" customHeight="1">
      <c r="A3" s="67"/>
      <c r="B3" s="157" t="s">
        <v>551</v>
      </c>
      <c r="C3" s="68"/>
      <c r="D3" s="68"/>
      <c r="E3" s="68"/>
      <c r="F3" s="151"/>
    </row>
    <row r="4" spans="1:12" ht="29.85" customHeight="1">
      <c r="A4" s="69">
        <v>1</v>
      </c>
      <c r="B4" s="70" t="s">
        <v>552</v>
      </c>
      <c r="C4" s="74"/>
      <c r="D4" s="71">
        <v>695</v>
      </c>
      <c r="E4" s="72">
        <f>C4*D4</f>
        <v>0</v>
      </c>
      <c r="F4" s="488" t="s">
        <v>1102</v>
      </c>
    </row>
    <row r="5" spans="1:12" ht="29.85" customHeight="1">
      <c r="A5" s="69">
        <v>2</v>
      </c>
      <c r="B5" s="73" t="s">
        <v>553</v>
      </c>
      <c r="C5" s="74"/>
      <c r="D5" s="71">
        <v>340</v>
      </c>
      <c r="E5" s="75">
        <f>C5*D5</f>
        <v>0</v>
      </c>
      <c r="F5" s="488" t="s">
        <v>1102</v>
      </c>
    </row>
    <row r="6" spans="1:12" ht="17.100000000000001" customHeight="1">
      <c r="A6" s="69">
        <v>3</v>
      </c>
      <c r="B6" s="73" t="s">
        <v>554</v>
      </c>
      <c r="C6" s="406">
        <v>3</v>
      </c>
      <c r="D6" s="481"/>
      <c r="E6" s="75">
        <f>C6*D6</f>
        <v>0</v>
      </c>
      <c r="F6" s="151"/>
    </row>
    <row r="7" spans="1:12" ht="20.45" customHeight="1">
      <c r="A7" s="69">
        <v>4</v>
      </c>
      <c r="B7" s="73" t="s">
        <v>555</v>
      </c>
      <c r="C7" s="406">
        <v>2</v>
      </c>
      <c r="D7" s="481"/>
      <c r="E7" s="75">
        <f>C7*D7</f>
        <v>0</v>
      </c>
      <c r="F7" s="151"/>
    </row>
    <row r="8" spans="1:12" ht="18" customHeight="1">
      <c r="A8" s="69">
        <v>5</v>
      </c>
      <c r="B8" s="73" t="s">
        <v>556</v>
      </c>
      <c r="C8" s="406">
        <f>5.6*1.05</f>
        <v>5.88</v>
      </c>
      <c r="D8" s="480"/>
      <c r="E8" s="75">
        <f>C8*D8</f>
        <v>0</v>
      </c>
      <c r="F8" s="151"/>
    </row>
    <row r="9" spans="1:12" ht="17.100000000000001" customHeight="1">
      <c r="A9" s="69"/>
      <c r="B9" s="157" t="s">
        <v>557</v>
      </c>
      <c r="C9" s="74"/>
      <c r="D9" s="75"/>
      <c r="E9" s="75"/>
      <c r="F9" s="151"/>
    </row>
    <row r="10" spans="1:12" ht="20.45" customHeight="1">
      <c r="A10" s="69">
        <v>6</v>
      </c>
      <c r="B10" s="156" t="s">
        <v>558</v>
      </c>
      <c r="C10" s="74"/>
      <c r="D10" s="75"/>
      <c r="E10" s="75"/>
      <c r="F10" s="151"/>
    </row>
    <row r="11" spans="1:12" ht="21" customHeight="1">
      <c r="A11" s="69">
        <v>7</v>
      </c>
      <c r="B11" s="73" t="s">
        <v>559</v>
      </c>
      <c r="C11" s="74"/>
      <c r="D11" s="71">
        <v>7115</v>
      </c>
      <c r="E11" s="75">
        <f t="shared" ref="E11:E42" si="0">C11*D11</f>
        <v>0</v>
      </c>
      <c r="F11" s="488" t="s">
        <v>1102</v>
      </c>
    </row>
    <row r="12" spans="1:12" ht="29.85" customHeight="1">
      <c r="A12" s="69">
        <v>8</v>
      </c>
      <c r="B12" s="73" t="s">
        <v>560</v>
      </c>
      <c r="C12" s="74"/>
      <c r="D12" s="71">
        <v>545</v>
      </c>
      <c r="E12" s="75">
        <f t="shared" si="0"/>
        <v>0</v>
      </c>
      <c r="F12" s="488" t="s">
        <v>1102</v>
      </c>
    </row>
    <row r="13" spans="1:12" ht="29.85" customHeight="1">
      <c r="A13" s="69">
        <v>9</v>
      </c>
      <c r="B13" s="73" t="s">
        <v>561</v>
      </c>
      <c r="C13" s="74"/>
      <c r="D13" s="71">
        <v>21385</v>
      </c>
      <c r="E13" s="75">
        <f t="shared" si="0"/>
        <v>0</v>
      </c>
      <c r="F13" s="488" t="s">
        <v>1102</v>
      </c>
    </row>
    <row r="14" spans="1:12" ht="29.85" customHeight="1">
      <c r="A14" s="69">
        <v>10</v>
      </c>
      <c r="B14" s="73" t="s">
        <v>562</v>
      </c>
      <c r="C14" s="74"/>
      <c r="D14" s="71">
        <v>2952</v>
      </c>
      <c r="E14" s="75">
        <f t="shared" si="0"/>
        <v>0</v>
      </c>
      <c r="F14" s="488" t="s">
        <v>1102</v>
      </c>
    </row>
    <row r="15" spans="1:12" ht="29.85" customHeight="1">
      <c r="A15" s="69">
        <v>11</v>
      </c>
      <c r="B15" s="73" t="s">
        <v>563</v>
      </c>
      <c r="C15" s="74"/>
      <c r="D15" s="71">
        <v>21240</v>
      </c>
      <c r="E15" s="75">
        <f t="shared" si="0"/>
        <v>0</v>
      </c>
      <c r="F15" s="488" t="s">
        <v>1102</v>
      </c>
    </row>
    <row r="16" spans="1:12" ht="39.950000000000003" customHeight="1">
      <c r="A16" s="69">
        <v>12</v>
      </c>
      <c r="B16" s="73" t="s">
        <v>564</v>
      </c>
      <c r="C16" s="406">
        <v>1</v>
      </c>
      <c r="D16" s="481"/>
      <c r="E16" s="75">
        <f t="shared" si="0"/>
        <v>0</v>
      </c>
      <c r="F16" s="151"/>
    </row>
    <row r="17" spans="1:8" ht="18.95" customHeight="1">
      <c r="A17" s="69">
        <v>13</v>
      </c>
      <c r="B17" s="76" t="s">
        <v>565</v>
      </c>
      <c r="C17" s="407">
        <v>1</v>
      </c>
      <c r="D17" s="480"/>
      <c r="E17" s="75">
        <f t="shared" si="0"/>
        <v>0</v>
      </c>
      <c r="F17" s="151"/>
    </row>
    <row r="18" spans="1:8" ht="20.45" customHeight="1">
      <c r="A18" s="69">
        <v>14</v>
      </c>
      <c r="B18" s="141" t="s">
        <v>887</v>
      </c>
      <c r="C18" s="142">
        <v>0</v>
      </c>
      <c r="D18" s="72">
        <v>581</v>
      </c>
      <c r="E18" s="75">
        <f t="shared" si="0"/>
        <v>0</v>
      </c>
      <c r="F18" s="152"/>
    </row>
    <row r="19" spans="1:8" ht="22.5" customHeight="1">
      <c r="A19" s="69">
        <v>15</v>
      </c>
      <c r="B19" s="141" t="s">
        <v>566</v>
      </c>
      <c r="C19" s="483"/>
      <c r="D19" s="71">
        <v>1356</v>
      </c>
      <c r="E19" s="75">
        <f t="shared" si="0"/>
        <v>0</v>
      </c>
      <c r="F19" s="488" t="s">
        <v>1102</v>
      </c>
    </row>
    <row r="20" spans="1:8" ht="18.95" customHeight="1">
      <c r="A20" s="69">
        <v>16</v>
      </c>
      <c r="B20" s="73" t="s">
        <v>567</v>
      </c>
      <c r="C20" s="74"/>
      <c r="D20" s="71">
        <v>294</v>
      </c>
      <c r="E20" s="75">
        <f t="shared" si="0"/>
        <v>0</v>
      </c>
      <c r="F20" s="488" t="s">
        <v>1102</v>
      </c>
    </row>
    <row r="21" spans="1:8" ht="29.85" customHeight="1">
      <c r="A21" s="69">
        <v>17</v>
      </c>
      <c r="B21" s="73" t="s">
        <v>568</v>
      </c>
      <c r="C21" s="74"/>
      <c r="D21" s="71">
        <v>2940</v>
      </c>
      <c r="E21" s="75">
        <f t="shared" si="0"/>
        <v>0</v>
      </c>
      <c r="F21" s="488" t="s">
        <v>1102</v>
      </c>
    </row>
    <row r="22" spans="1:8" ht="29.85" customHeight="1">
      <c r="A22" s="69">
        <v>20</v>
      </c>
      <c r="B22" s="143" t="s">
        <v>569</v>
      </c>
      <c r="C22" s="483"/>
      <c r="D22" s="71">
        <v>774</v>
      </c>
      <c r="E22" s="75">
        <f t="shared" si="0"/>
        <v>0</v>
      </c>
      <c r="F22" s="488" t="s">
        <v>1102</v>
      </c>
      <c r="G22" s="153"/>
    </row>
    <row r="23" spans="1:8" ht="29.85" customHeight="1">
      <c r="A23" s="69">
        <v>23</v>
      </c>
      <c r="B23" s="143" t="s">
        <v>570</v>
      </c>
      <c r="C23" s="108"/>
      <c r="D23" s="71">
        <v>938</v>
      </c>
      <c r="E23" s="72">
        <f t="shared" si="0"/>
        <v>0</v>
      </c>
      <c r="F23" s="488" t="s">
        <v>1102</v>
      </c>
      <c r="G23" s="154"/>
      <c r="H23" s="151"/>
    </row>
    <row r="24" spans="1:8" ht="29.85" customHeight="1">
      <c r="A24" s="69">
        <v>24</v>
      </c>
      <c r="B24" s="159" t="s">
        <v>571</v>
      </c>
      <c r="C24" s="407">
        <f>14*1.05</f>
        <v>14.700000000000001</v>
      </c>
      <c r="D24" s="480"/>
      <c r="E24" s="72">
        <f t="shared" si="0"/>
        <v>0</v>
      </c>
      <c r="F24" s="154"/>
      <c r="G24" s="154"/>
      <c r="H24" s="151"/>
    </row>
    <row r="25" spans="1:8" ht="29.85" customHeight="1">
      <c r="A25" s="69">
        <v>25</v>
      </c>
      <c r="B25" s="143" t="s">
        <v>572</v>
      </c>
      <c r="C25" s="407"/>
      <c r="D25" s="482">
        <v>440</v>
      </c>
      <c r="E25" s="75">
        <f t="shared" si="0"/>
        <v>0</v>
      </c>
      <c r="F25" s="488" t="s">
        <v>1102</v>
      </c>
      <c r="G25" s="155"/>
    </row>
    <row r="26" spans="1:8" ht="29.85" customHeight="1">
      <c r="A26" s="69">
        <v>26</v>
      </c>
      <c r="B26" s="143" t="s">
        <v>573</v>
      </c>
      <c r="C26" s="406"/>
      <c r="D26" s="482">
        <v>2100</v>
      </c>
      <c r="E26" s="75">
        <f t="shared" si="0"/>
        <v>0</v>
      </c>
      <c r="F26" s="488" t="s">
        <v>1102</v>
      </c>
      <c r="G26" s="151"/>
    </row>
    <row r="27" spans="1:8" ht="29.85" customHeight="1">
      <c r="A27" s="69">
        <v>27</v>
      </c>
      <c r="B27" s="143" t="s">
        <v>574</v>
      </c>
      <c r="C27" s="406"/>
      <c r="D27" s="482">
        <v>1740</v>
      </c>
      <c r="E27" s="75">
        <f t="shared" si="0"/>
        <v>0</v>
      </c>
      <c r="F27" s="488" t="s">
        <v>1102</v>
      </c>
      <c r="G27" s="151"/>
    </row>
    <row r="28" spans="1:8" ht="29.85" customHeight="1">
      <c r="A28" s="69">
        <v>28</v>
      </c>
      <c r="B28" s="143" t="s">
        <v>575</v>
      </c>
      <c r="C28" s="406"/>
      <c r="D28" s="482">
        <v>710</v>
      </c>
      <c r="E28" s="75">
        <f t="shared" si="0"/>
        <v>0</v>
      </c>
      <c r="F28" s="488" t="s">
        <v>1102</v>
      </c>
      <c r="G28" s="151"/>
    </row>
    <row r="29" spans="1:8" ht="17.45" customHeight="1">
      <c r="A29" s="69">
        <v>29</v>
      </c>
      <c r="B29" s="160" t="s">
        <v>576</v>
      </c>
      <c r="C29" s="407"/>
      <c r="D29" s="482">
        <v>400</v>
      </c>
      <c r="E29" s="75">
        <f t="shared" si="0"/>
        <v>0</v>
      </c>
      <c r="F29" s="488" t="s">
        <v>1102</v>
      </c>
      <c r="G29" s="155"/>
    </row>
    <row r="30" spans="1:8" ht="19.5" customHeight="1">
      <c r="A30" s="69">
        <v>30</v>
      </c>
      <c r="B30" s="143" t="s">
        <v>577</v>
      </c>
      <c r="C30" s="406"/>
      <c r="D30" s="482">
        <v>1275</v>
      </c>
      <c r="E30" s="75">
        <f t="shared" si="0"/>
        <v>0</v>
      </c>
      <c r="F30" s="488" t="s">
        <v>1102</v>
      </c>
      <c r="G30" s="151"/>
    </row>
    <row r="31" spans="1:8" ht="29.85" customHeight="1">
      <c r="A31" s="69">
        <v>31</v>
      </c>
      <c r="B31" s="143" t="s">
        <v>578</v>
      </c>
      <c r="C31" s="406">
        <v>11.8</v>
      </c>
      <c r="D31" s="480"/>
      <c r="E31" s="75">
        <f t="shared" si="0"/>
        <v>0</v>
      </c>
      <c r="F31" s="151"/>
      <c r="G31" s="151"/>
    </row>
    <row r="32" spans="1:8" ht="29.85" customHeight="1">
      <c r="A32" s="69">
        <v>32</v>
      </c>
      <c r="B32" s="143" t="s">
        <v>579</v>
      </c>
      <c r="C32" s="74">
        <v>0</v>
      </c>
      <c r="D32" s="72">
        <v>15155</v>
      </c>
      <c r="E32" s="75">
        <f t="shared" si="0"/>
        <v>0</v>
      </c>
      <c r="F32" s="488" t="s">
        <v>1102</v>
      </c>
      <c r="G32" s="151"/>
    </row>
    <row r="33" spans="1:7" ht="29.85" customHeight="1">
      <c r="A33" s="69">
        <v>33</v>
      </c>
      <c r="B33" s="143" t="s">
        <v>580</v>
      </c>
      <c r="C33" s="406">
        <v>1</v>
      </c>
      <c r="D33" s="481"/>
      <c r="E33" s="75">
        <f t="shared" si="0"/>
        <v>0</v>
      </c>
      <c r="F33" s="151"/>
      <c r="G33" s="151"/>
    </row>
    <row r="34" spans="1:7" ht="23.1" customHeight="1">
      <c r="A34" s="69">
        <v>34</v>
      </c>
      <c r="B34" s="143" t="s">
        <v>581</v>
      </c>
      <c r="C34" s="406">
        <v>3.2</v>
      </c>
      <c r="D34" s="480"/>
      <c r="E34" s="75">
        <f t="shared" si="0"/>
        <v>0</v>
      </c>
      <c r="F34" s="151"/>
      <c r="G34" s="151"/>
    </row>
    <row r="35" spans="1:7" ht="18.600000000000001" customHeight="1">
      <c r="A35" s="69">
        <v>35</v>
      </c>
      <c r="B35" s="143" t="s">
        <v>582</v>
      </c>
      <c r="C35" s="406">
        <v>0.5</v>
      </c>
      <c r="D35" s="480"/>
      <c r="E35" s="75">
        <f t="shared" si="0"/>
        <v>0</v>
      </c>
      <c r="F35" s="151"/>
      <c r="G35" s="151"/>
    </row>
    <row r="36" spans="1:7" ht="22.35" customHeight="1">
      <c r="A36" s="69">
        <v>36</v>
      </c>
      <c r="B36" s="76" t="s">
        <v>583</v>
      </c>
      <c r="C36" s="74">
        <v>0</v>
      </c>
      <c r="D36" s="75">
        <v>65</v>
      </c>
      <c r="E36" s="75">
        <f t="shared" si="0"/>
        <v>0</v>
      </c>
      <c r="F36" s="151"/>
      <c r="G36" s="151"/>
    </row>
    <row r="37" spans="1:7" ht="17.100000000000001" customHeight="1">
      <c r="A37" s="69"/>
      <c r="B37" s="158" t="s">
        <v>584</v>
      </c>
      <c r="C37" s="74"/>
      <c r="D37" s="75"/>
      <c r="E37" s="75"/>
      <c r="F37" s="151"/>
      <c r="G37" s="151"/>
    </row>
    <row r="38" spans="1:7" ht="20.45" customHeight="1">
      <c r="A38" s="69">
        <v>37</v>
      </c>
      <c r="B38" s="76" t="s">
        <v>585</v>
      </c>
      <c r="C38" s="406">
        <f>25*1.1</f>
        <v>27.500000000000004</v>
      </c>
      <c r="D38" s="480"/>
      <c r="E38" s="75">
        <f t="shared" si="0"/>
        <v>0</v>
      </c>
      <c r="F38" s="151"/>
      <c r="G38" s="151"/>
    </row>
    <row r="39" spans="1:7" ht="17.100000000000001" customHeight="1">
      <c r="A39" s="69"/>
      <c r="B39" s="158" t="s">
        <v>586</v>
      </c>
      <c r="C39" s="74"/>
      <c r="D39" s="75"/>
      <c r="E39" s="75"/>
      <c r="F39" s="151"/>
      <c r="G39" s="151"/>
    </row>
    <row r="40" spans="1:7" ht="18.95" customHeight="1">
      <c r="A40" s="69">
        <v>38</v>
      </c>
      <c r="B40" s="76" t="s">
        <v>587</v>
      </c>
      <c r="C40" s="74">
        <v>37</v>
      </c>
      <c r="D40" s="480"/>
      <c r="E40" s="75">
        <f t="shared" si="0"/>
        <v>0</v>
      </c>
      <c r="F40" s="151"/>
      <c r="G40" s="151"/>
    </row>
    <row r="41" spans="1:7" ht="17.100000000000001" customHeight="1">
      <c r="A41" s="69"/>
      <c r="B41" s="158" t="s">
        <v>588</v>
      </c>
      <c r="C41" s="74"/>
      <c r="D41" s="75"/>
      <c r="E41" s="75"/>
      <c r="F41" s="151"/>
      <c r="G41" s="151"/>
    </row>
    <row r="42" spans="1:7" ht="22.5" customHeight="1">
      <c r="A42" s="69">
        <v>39</v>
      </c>
      <c r="B42" s="76" t="s">
        <v>589</v>
      </c>
      <c r="C42" s="408">
        <f>9.6</f>
        <v>9.6</v>
      </c>
      <c r="D42" s="480"/>
      <c r="E42" s="75">
        <f t="shared" si="0"/>
        <v>0</v>
      </c>
      <c r="F42" s="151"/>
      <c r="G42" s="151"/>
    </row>
    <row r="43" spans="1:7" ht="17.100000000000001" customHeight="1">
      <c r="A43" s="69"/>
      <c r="B43" s="156" t="s">
        <v>558</v>
      </c>
      <c r="C43" s="74"/>
      <c r="D43" s="75"/>
      <c r="E43" s="75"/>
      <c r="F43" s="151"/>
      <c r="G43" s="151"/>
    </row>
    <row r="44" spans="1:7" ht="29.85" customHeight="1">
      <c r="A44" s="69">
        <v>42</v>
      </c>
      <c r="B44" s="76" t="s">
        <v>590</v>
      </c>
      <c r="C44" s="406">
        <v>1</v>
      </c>
      <c r="D44" s="481"/>
      <c r="E44" s="75">
        <f t="shared" ref="E44:E57" si="1">C44*D44</f>
        <v>0</v>
      </c>
      <c r="F44" s="151"/>
      <c r="G44" s="151"/>
    </row>
    <row r="45" spans="1:7" ht="29.85" customHeight="1">
      <c r="A45" s="69">
        <v>43</v>
      </c>
      <c r="B45" s="76" t="s">
        <v>591</v>
      </c>
      <c r="C45" s="406">
        <v>1</v>
      </c>
      <c r="D45" s="481"/>
      <c r="E45" s="75">
        <f t="shared" si="1"/>
        <v>0</v>
      </c>
      <c r="F45" s="151"/>
      <c r="G45" s="151"/>
    </row>
    <row r="46" spans="1:7" ht="45" customHeight="1">
      <c r="A46" s="69">
        <v>44</v>
      </c>
      <c r="B46" s="76" t="s">
        <v>889</v>
      </c>
      <c r="C46" s="74">
        <v>0</v>
      </c>
      <c r="D46" s="71">
        <v>2080</v>
      </c>
      <c r="E46" s="75">
        <f t="shared" si="1"/>
        <v>0</v>
      </c>
      <c r="F46" s="151"/>
      <c r="G46" s="151"/>
    </row>
    <row r="47" spans="1:7" ht="29.85" customHeight="1">
      <c r="A47" s="409"/>
      <c r="B47" s="410" t="s">
        <v>888</v>
      </c>
      <c r="C47" s="406">
        <v>1</v>
      </c>
      <c r="D47" s="481"/>
      <c r="E47" s="75">
        <f t="shared" ref="E47" si="2">C47*D47</f>
        <v>0</v>
      </c>
      <c r="F47" s="151"/>
      <c r="G47" s="151"/>
    </row>
    <row r="48" spans="1:7" ht="19.5" customHeight="1">
      <c r="A48" s="69">
        <v>45</v>
      </c>
      <c r="B48" s="76" t="s">
        <v>592</v>
      </c>
      <c r="C48" s="406">
        <v>1</v>
      </c>
      <c r="D48" s="481"/>
      <c r="E48" s="75">
        <f t="shared" si="1"/>
        <v>0</v>
      </c>
      <c r="F48" s="151"/>
      <c r="G48" s="151"/>
    </row>
    <row r="49" spans="1:7" ht="29.85" customHeight="1">
      <c r="A49" s="69">
        <v>46</v>
      </c>
      <c r="B49" s="76" t="s">
        <v>593</v>
      </c>
      <c r="C49" s="406">
        <v>1</v>
      </c>
      <c r="D49" s="481"/>
      <c r="E49" s="75">
        <f t="shared" si="1"/>
        <v>0</v>
      </c>
      <c r="F49" s="151"/>
      <c r="G49" s="151"/>
    </row>
    <row r="50" spans="1:7" ht="29.85" customHeight="1">
      <c r="A50" s="69">
        <v>47</v>
      </c>
      <c r="B50" s="76" t="s">
        <v>594</v>
      </c>
      <c r="C50" s="406">
        <v>1</v>
      </c>
      <c r="D50" s="481"/>
      <c r="E50" s="75">
        <f t="shared" si="1"/>
        <v>0</v>
      </c>
      <c r="F50" s="151"/>
      <c r="G50" s="151"/>
    </row>
    <row r="51" spans="1:7" ht="29.85" customHeight="1">
      <c r="A51" s="69">
        <v>48</v>
      </c>
      <c r="B51" s="76" t="s">
        <v>595</v>
      </c>
      <c r="C51" s="406">
        <v>1</v>
      </c>
      <c r="D51" s="481"/>
      <c r="E51" s="75">
        <f t="shared" si="1"/>
        <v>0</v>
      </c>
      <c r="F51" s="151"/>
      <c r="G51" s="151"/>
    </row>
    <row r="52" spans="1:7" ht="29.85" customHeight="1">
      <c r="A52" s="69">
        <v>49</v>
      </c>
      <c r="B52" s="76" t="s">
        <v>596</v>
      </c>
      <c r="C52" s="74">
        <v>0</v>
      </c>
      <c r="D52" s="71">
        <v>695</v>
      </c>
      <c r="E52" s="75">
        <f t="shared" si="1"/>
        <v>0</v>
      </c>
      <c r="F52" s="151"/>
      <c r="G52" s="151"/>
    </row>
    <row r="53" spans="1:7" ht="20.45" customHeight="1">
      <c r="A53" s="69">
        <v>50</v>
      </c>
      <c r="B53" s="76" t="s">
        <v>597</v>
      </c>
      <c r="C53" s="74">
        <v>0</v>
      </c>
      <c r="D53" s="71">
        <v>570</v>
      </c>
      <c r="E53" s="75">
        <f t="shared" si="1"/>
        <v>0</v>
      </c>
      <c r="F53" s="151"/>
      <c r="G53" s="151"/>
    </row>
    <row r="54" spans="1:7" ht="20.100000000000001" customHeight="1">
      <c r="A54" s="69">
        <v>51</v>
      </c>
      <c r="B54" s="76" t="s">
        <v>598</v>
      </c>
      <c r="C54" s="74">
        <v>0</v>
      </c>
      <c r="D54" s="71">
        <v>105</v>
      </c>
      <c r="E54" s="75">
        <f t="shared" si="1"/>
        <v>0</v>
      </c>
      <c r="F54" s="151"/>
      <c r="G54" s="151"/>
    </row>
    <row r="55" spans="1:7" ht="18.95" customHeight="1">
      <c r="A55" s="69">
        <v>52</v>
      </c>
      <c r="B55" s="76" t="s">
        <v>599</v>
      </c>
      <c r="C55" s="74">
        <v>0</v>
      </c>
      <c r="D55" s="71">
        <v>305</v>
      </c>
      <c r="E55" s="75">
        <f t="shared" si="1"/>
        <v>0</v>
      </c>
      <c r="F55" s="151"/>
      <c r="G55" s="151"/>
    </row>
    <row r="56" spans="1:7" ht="29.85" customHeight="1">
      <c r="A56" s="69">
        <v>53</v>
      </c>
      <c r="B56" s="76" t="s">
        <v>600</v>
      </c>
      <c r="C56" s="74">
        <v>0</v>
      </c>
      <c r="D56" s="71">
        <v>930</v>
      </c>
      <c r="E56" s="75">
        <f t="shared" si="1"/>
        <v>0</v>
      </c>
      <c r="F56" s="151"/>
      <c r="G56" s="152"/>
    </row>
    <row r="57" spans="1:7" ht="17.100000000000001" customHeight="1">
      <c r="A57" s="144"/>
      <c r="B57" s="157" t="s">
        <v>601</v>
      </c>
      <c r="C57" s="406">
        <v>1</v>
      </c>
      <c r="D57" s="480"/>
      <c r="E57" s="75">
        <f t="shared" si="1"/>
        <v>0</v>
      </c>
      <c r="F57" s="151"/>
      <c r="G57" s="151"/>
    </row>
    <row r="58" spans="1:7" ht="57" customHeight="1">
      <c r="A58" s="834" t="s">
        <v>602</v>
      </c>
      <c r="B58" s="835"/>
      <c r="C58" s="835"/>
      <c r="D58" s="836">
        <f>SUM(E4:E56)*1.05+E57</f>
        <v>0</v>
      </c>
      <c r="E58" s="836"/>
    </row>
    <row r="59" spans="1:7" ht="29.85" customHeight="1"/>
    <row r="60" spans="1:7" ht="29.85" customHeight="1">
      <c r="B60" s="77" t="s">
        <v>603</v>
      </c>
      <c r="C60" s="109" t="s">
        <v>604</v>
      </c>
    </row>
    <row r="61" spans="1:7" ht="15">
      <c r="B61" s="80"/>
      <c r="C61" s="80"/>
    </row>
    <row r="62" spans="1:7" ht="15">
      <c r="B62" s="81" t="s">
        <v>605</v>
      </c>
      <c r="C62" s="113" t="s">
        <v>605</v>
      </c>
    </row>
    <row r="63" spans="1:7">
      <c r="B63" s="82" t="s">
        <v>606</v>
      </c>
      <c r="C63" s="82" t="s">
        <v>606</v>
      </c>
    </row>
    <row r="64" spans="1:7" ht="15">
      <c r="B64" s="83"/>
    </row>
    <row r="68" ht="13.5" customHeight="1"/>
  </sheetData>
  <mergeCells count="3">
    <mergeCell ref="A1:E1"/>
    <mergeCell ref="A58:C58"/>
    <mergeCell ref="D58:E58"/>
  </mergeCells>
  <phoneticPr fontId="2" type="noConversion"/>
  <hyperlinks>
    <hyperlink ref="L2" r:id="rId1"/>
  </hyperlinks>
  <pageMargins left="0.59055118110236227" right="0" top="0.59055118110236227" bottom="0.59055118110236227" header="0" footer="0"/>
  <pageSetup paperSize="9" scale="95" orientation="portrait" r:id="rId2"/>
  <customProperties>
    <customPr name="_pios_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F28"/>
  <sheetViews>
    <sheetView zoomScale="110" zoomScaleNormal="110" workbookViewId="0">
      <selection activeCell="G58" sqref="G58"/>
    </sheetView>
  </sheetViews>
  <sheetFormatPr defaultColWidth="11.5703125" defaultRowHeight="14.25"/>
  <cols>
    <col min="1" max="1" width="5.42578125" style="84" customWidth="1"/>
    <col min="2" max="2" width="89.5703125" style="84" customWidth="1"/>
    <col min="3" max="5" width="12.5703125" style="84" customWidth="1"/>
    <col min="6" max="6" width="10.5703125" style="84" customWidth="1"/>
    <col min="7" max="238" width="9.140625" style="84" customWidth="1"/>
    <col min="239" max="16384" width="11.5703125" style="84"/>
  </cols>
  <sheetData>
    <row r="1" spans="1:6" ht="27" customHeight="1">
      <c r="A1" s="839" t="s">
        <v>616</v>
      </c>
      <c r="B1" s="839"/>
      <c r="C1" s="839"/>
      <c r="D1" s="839"/>
      <c r="E1" s="839"/>
    </row>
    <row r="2" spans="1:6" ht="39" customHeight="1">
      <c r="A2" s="85" t="s">
        <v>544</v>
      </c>
      <c r="B2" s="85" t="s">
        <v>545</v>
      </c>
      <c r="C2" s="85" t="s">
        <v>546</v>
      </c>
      <c r="D2" s="85" t="s">
        <v>547</v>
      </c>
      <c r="E2" s="85" t="s">
        <v>548</v>
      </c>
    </row>
    <row r="3" spans="1:6" ht="17.100000000000001" customHeight="1">
      <c r="A3" s="63"/>
      <c r="B3" s="86"/>
      <c r="C3" s="65"/>
      <c r="D3" s="65"/>
      <c r="E3" s="65"/>
    </row>
    <row r="4" spans="1:6" ht="21.95" customHeight="1">
      <c r="A4" s="87">
        <v>1</v>
      </c>
      <c r="B4" s="88" t="s">
        <v>617</v>
      </c>
      <c r="C4" s="411">
        <v>6</v>
      </c>
      <c r="D4" s="484"/>
      <c r="E4" s="91">
        <f t="shared" ref="E4:E15" si="0">D4*C4</f>
        <v>0</v>
      </c>
    </row>
    <row r="5" spans="1:6" ht="21.6" customHeight="1">
      <c r="A5" s="87">
        <v>2</v>
      </c>
      <c r="B5" s="92" t="s">
        <v>618</v>
      </c>
      <c r="C5" s="411">
        <v>7</v>
      </c>
      <c r="D5" s="484"/>
      <c r="E5" s="91">
        <f t="shared" si="0"/>
        <v>0</v>
      </c>
    </row>
    <row r="6" spans="1:6" ht="20.45" customHeight="1">
      <c r="A6" s="87">
        <v>3</v>
      </c>
      <c r="B6" s="92" t="s">
        <v>619</v>
      </c>
      <c r="C6" s="411">
        <v>3</v>
      </c>
      <c r="D6" s="484"/>
      <c r="E6" s="91">
        <f t="shared" si="0"/>
        <v>0</v>
      </c>
    </row>
    <row r="7" spans="1:6" ht="22.5" customHeight="1">
      <c r="A7" s="87">
        <v>4</v>
      </c>
      <c r="B7" s="92" t="s">
        <v>620</v>
      </c>
      <c r="C7" s="411"/>
      <c r="D7" s="90">
        <v>480</v>
      </c>
      <c r="E7" s="91">
        <f t="shared" si="0"/>
        <v>0</v>
      </c>
      <c r="F7" s="487" t="s">
        <v>1102</v>
      </c>
    </row>
    <row r="8" spans="1:6" ht="21" customHeight="1">
      <c r="A8" s="87">
        <v>5</v>
      </c>
      <c r="B8" s="92" t="s">
        <v>621</v>
      </c>
      <c r="C8" s="89">
        <v>0</v>
      </c>
      <c r="D8" s="90">
        <v>150</v>
      </c>
      <c r="E8" s="91">
        <f t="shared" si="0"/>
        <v>0</v>
      </c>
    </row>
    <row r="9" spans="1:6" ht="21.6" customHeight="1">
      <c r="A9" s="87">
        <v>6</v>
      </c>
      <c r="B9" s="92" t="s">
        <v>622</v>
      </c>
      <c r="C9" s="411"/>
      <c r="D9" s="90">
        <v>1580</v>
      </c>
      <c r="E9" s="91">
        <f t="shared" si="0"/>
        <v>0</v>
      </c>
      <c r="F9" s="487" t="s">
        <v>1102</v>
      </c>
    </row>
    <row r="10" spans="1:6" ht="22.5" customHeight="1">
      <c r="A10" s="87">
        <v>7</v>
      </c>
      <c r="B10" s="92" t="s">
        <v>623</v>
      </c>
      <c r="C10" s="89">
        <v>0</v>
      </c>
      <c r="D10" s="90">
        <v>65</v>
      </c>
      <c r="E10" s="91">
        <f t="shared" si="0"/>
        <v>0</v>
      </c>
    </row>
    <row r="11" spans="1:6" ht="25.5" customHeight="1">
      <c r="A11" s="205">
        <v>8</v>
      </c>
      <c r="B11" s="93" t="s">
        <v>621</v>
      </c>
      <c r="C11" s="94">
        <v>0</v>
      </c>
      <c r="D11" s="90">
        <v>150</v>
      </c>
      <c r="E11" s="91">
        <f t="shared" si="0"/>
        <v>0</v>
      </c>
    </row>
    <row r="12" spans="1:6" ht="22.5" customHeight="1">
      <c r="A12" s="206">
        <v>9</v>
      </c>
      <c r="B12" s="95" t="s">
        <v>624</v>
      </c>
      <c r="C12" s="411"/>
      <c r="D12" s="90">
        <v>2956.8</v>
      </c>
      <c r="E12" s="91">
        <f t="shared" si="0"/>
        <v>0</v>
      </c>
      <c r="F12" s="487" t="s">
        <v>1102</v>
      </c>
    </row>
    <row r="13" spans="1:6" ht="21.95" customHeight="1">
      <c r="A13" s="206">
        <v>10</v>
      </c>
      <c r="B13" s="95" t="s">
        <v>625</v>
      </c>
      <c r="C13" s="89">
        <f>16*0</f>
        <v>0</v>
      </c>
      <c r="D13" s="90">
        <v>1689.6</v>
      </c>
      <c r="E13" s="91">
        <f t="shared" si="0"/>
        <v>0</v>
      </c>
    </row>
    <row r="14" spans="1:6" ht="20.45" customHeight="1">
      <c r="A14" s="206">
        <v>11</v>
      </c>
      <c r="B14" s="96" t="s">
        <v>890</v>
      </c>
      <c r="C14" s="411">
        <v>11</v>
      </c>
      <c r="D14" s="484"/>
      <c r="E14" s="91">
        <f t="shared" si="0"/>
        <v>0</v>
      </c>
    </row>
    <row r="15" spans="1:6" ht="23.1" customHeight="1">
      <c r="A15" s="97">
        <v>12</v>
      </c>
      <c r="B15" s="207" t="s">
        <v>626</v>
      </c>
      <c r="C15" s="412">
        <v>4</v>
      </c>
      <c r="D15" s="485"/>
      <c r="E15" s="208">
        <f t="shared" si="0"/>
        <v>0</v>
      </c>
    </row>
    <row r="16" spans="1:6" ht="23.1" customHeight="1">
      <c r="A16" s="98"/>
      <c r="B16" s="415" t="s">
        <v>894</v>
      </c>
      <c r="C16" s="416">
        <v>3</v>
      </c>
      <c r="D16" s="484"/>
      <c r="E16" s="91">
        <f t="shared" ref="E16" si="1">D16*C16</f>
        <v>0</v>
      </c>
    </row>
    <row r="17" spans="1:6" ht="21.6" customHeight="1">
      <c r="A17" s="98"/>
      <c r="B17" s="99" t="s">
        <v>627</v>
      </c>
      <c r="C17" s="100"/>
      <c r="D17" s="100"/>
      <c r="E17" s="100"/>
    </row>
    <row r="18" spans="1:6" ht="22.5" customHeight="1">
      <c r="A18" s="101">
        <v>13</v>
      </c>
      <c r="B18" s="102" t="s">
        <v>628</v>
      </c>
      <c r="C18" s="413">
        <v>4</v>
      </c>
      <c r="D18" s="486"/>
      <c r="E18" s="103">
        <f>C18*D18</f>
        <v>0</v>
      </c>
    </row>
    <row r="19" spans="1:6" ht="17.100000000000001" customHeight="1">
      <c r="A19" s="104"/>
      <c r="B19" s="86" t="s">
        <v>601</v>
      </c>
      <c r="C19" s="414">
        <v>1</v>
      </c>
      <c r="D19" s="105">
        <f>(SUM(E4:E18)*0.08)</f>
        <v>0</v>
      </c>
      <c r="E19" s="105">
        <f t="shared" ref="E19" si="2">C19*D19</f>
        <v>0</v>
      </c>
    </row>
    <row r="20" spans="1:6" ht="21" customHeight="1">
      <c r="A20" s="840" t="s">
        <v>629</v>
      </c>
      <c r="B20" s="840"/>
      <c r="C20" s="840"/>
      <c r="D20" s="840"/>
      <c r="E20" s="106">
        <f>SUM(E4:E19)</f>
        <v>0</v>
      </c>
      <c r="F20" s="107"/>
    </row>
    <row r="21" spans="1:6">
      <c r="A21" s="62"/>
      <c r="B21" s="62"/>
      <c r="C21" s="108"/>
      <c r="D21" s="108"/>
      <c r="E21" s="108"/>
    </row>
    <row r="22" spans="1:6" ht="15">
      <c r="A22" s="62"/>
      <c r="B22" s="77" t="s">
        <v>603</v>
      </c>
      <c r="C22" s="841" t="s">
        <v>604</v>
      </c>
      <c r="D22" s="841"/>
      <c r="E22" s="841"/>
    </row>
    <row r="23" spans="1:6" ht="15">
      <c r="A23" s="62"/>
      <c r="B23" s="78"/>
      <c r="C23" s="841"/>
      <c r="D23" s="841"/>
      <c r="E23" s="841"/>
    </row>
    <row r="24" spans="1:6" ht="15">
      <c r="A24" s="62"/>
      <c r="B24" s="78"/>
      <c r="C24" s="110"/>
      <c r="D24" s="111"/>
      <c r="E24" s="111"/>
    </row>
    <row r="25" spans="1:6" ht="15">
      <c r="A25" s="62"/>
      <c r="B25" s="79"/>
      <c r="C25" s="842"/>
      <c r="D25" s="842"/>
      <c r="E25" s="842"/>
    </row>
    <row r="26" spans="1:6" ht="15">
      <c r="A26" s="62"/>
      <c r="B26" s="80"/>
      <c r="C26" s="112"/>
      <c r="D26" s="111"/>
      <c r="E26" s="111"/>
    </row>
    <row r="27" spans="1:6" ht="15">
      <c r="A27" s="62"/>
      <c r="B27" s="81" t="s">
        <v>605</v>
      </c>
      <c r="C27" s="837" t="s">
        <v>630</v>
      </c>
      <c r="D27" s="837"/>
      <c r="E27" s="837"/>
    </row>
    <row r="28" spans="1:6" ht="15" customHeight="1">
      <c r="A28" s="62"/>
      <c r="B28" s="82" t="s">
        <v>606</v>
      </c>
      <c r="C28" s="838" t="s">
        <v>606</v>
      </c>
      <c r="D28" s="838"/>
      <c r="E28" s="838"/>
    </row>
  </sheetData>
  <mergeCells count="7">
    <mergeCell ref="C27:E27"/>
    <mergeCell ref="C28:E28"/>
    <mergeCell ref="A1:E1"/>
    <mergeCell ref="A20:D20"/>
    <mergeCell ref="C22:E22"/>
    <mergeCell ref="C23:E23"/>
    <mergeCell ref="C25:E25"/>
  </mergeCells>
  <pageMargins left="0.7" right="0.7" top="0.75" bottom="0.75" header="0.3" footer="0.3"/>
  <pageSetup paperSize="9" orientation="portrait"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2:G58"/>
  <sheetViews>
    <sheetView zoomScale="140" zoomScaleNormal="140" workbookViewId="0">
      <selection activeCell="G58" sqref="G58"/>
    </sheetView>
  </sheetViews>
  <sheetFormatPr defaultColWidth="9.140625" defaultRowHeight="14.25"/>
  <cols>
    <col min="1" max="1" width="4.85546875" style="57" customWidth="1"/>
    <col min="2" max="2" width="32.42578125" style="58" customWidth="1"/>
    <col min="3" max="3" width="16.42578125" style="58" customWidth="1"/>
    <col min="4" max="4" width="7.85546875" style="140" customWidth="1"/>
    <col min="5" max="5" width="8.42578125" style="140" customWidth="1"/>
    <col min="6" max="6" width="7.5703125" style="139" customWidth="1"/>
    <col min="7" max="7" width="8.5703125" style="57" customWidth="1"/>
    <col min="8" max="16384" width="9.140625" style="57"/>
  </cols>
  <sheetData>
    <row r="2" spans="1:7" ht="56.25">
      <c r="A2" s="116" t="s">
        <v>3</v>
      </c>
      <c r="B2" s="117" t="s">
        <v>607</v>
      </c>
      <c r="C2" s="116" t="s">
        <v>652</v>
      </c>
      <c r="D2" s="116" t="s">
        <v>608</v>
      </c>
      <c r="E2" s="116" t="s">
        <v>653</v>
      </c>
      <c r="F2" s="118" t="s">
        <v>654</v>
      </c>
      <c r="G2" s="116" t="s">
        <v>655</v>
      </c>
    </row>
    <row r="3" spans="1:7">
      <c r="A3" s="119">
        <v>1</v>
      </c>
      <c r="B3" s="844" t="s">
        <v>656</v>
      </c>
      <c r="C3" s="845"/>
      <c r="D3" s="120"/>
      <c r="E3" s="120"/>
      <c r="F3" s="118"/>
      <c r="G3" s="116"/>
    </row>
    <row r="4" spans="1:7" ht="17.100000000000001" customHeight="1">
      <c r="A4" s="121"/>
      <c r="B4" s="846" t="s">
        <v>657</v>
      </c>
      <c r="C4" s="847"/>
      <c r="D4" s="120" t="s">
        <v>63</v>
      </c>
      <c r="E4" s="120">
        <f>SUM(E5:E19)</f>
        <v>22</v>
      </c>
      <c r="F4" s="122"/>
      <c r="G4" s="123"/>
    </row>
    <row r="5" spans="1:7" ht="20.45" customHeight="1">
      <c r="A5" s="124" t="s">
        <v>20</v>
      </c>
      <c r="B5" s="125" t="s">
        <v>658</v>
      </c>
      <c r="C5" s="126" t="s">
        <v>659</v>
      </c>
      <c r="D5" s="127" t="s">
        <v>63</v>
      </c>
      <c r="E5" s="166">
        <v>1</v>
      </c>
      <c r="F5" s="474"/>
      <c r="G5" s="129">
        <f t="shared" ref="G5:G20" si="0">E5*F5</f>
        <v>0</v>
      </c>
    </row>
    <row r="6" spans="1:7" ht="36" customHeight="1">
      <c r="A6" s="124" t="s">
        <v>24</v>
      </c>
      <c r="B6" s="125" t="s">
        <v>892</v>
      </c>
      <c r="C6" s="126" t="s">
        <v>659</v>
      </c>
      <c r="D6" s="127" t="s">
        <v>63</v>
      </c>
      <c r="E6" s="166">
        <v>2</v>
      </c>
      <c r="F6" s="474"/>
      <c r="G6" s="129">
        <f t="shared" si="0"/>
        <v>0</v>
      </c>
    </row>
    <row r="7" spans="1:7" ht="22.5" customHeight="1">
      <c r="A7" s="124"/>
      <c r="B7" s="125" t="s">
        <v>660</v>
      </c>
      <c r="C7" s="126" t="s">
        <v>659</v>
      </c>
      <c r="D7" s="127" t="s">
        <v>63</v>
      </c>
      <c r="E7" s="166">
        <v>1</v>
      </c>
      <c r="F7" s="474"/>
      <c r="G7" s="129">
        <f t="shared" ref="G7" si="1">E7*F7</f>
        <v>0</v>
      </c>
    </row>
    <row r="8" spans="1:7" ht="24" customHeight="1">
      <c r="A8" s="124" t="s">
        <v>26</v>
      </c>
      <c r="B8" s="125" t="s">
        <v>661</v>
      </c>
      <c r="C8" s="126" t="s">
        <v>659</v>
      </c>
      <c r="D8" s="127" t="s">
        <v>63</v>
      </c>
      <c r="E8" s="166">
        <v>2</v>
      </c>
      <c r="F8" s="474"/>
      <c r="G8" s="129">
        <f t="shared" si="0"/>
        <v>0</v>
      </c>
    </row>
    <row r="9" spans="1:7" ht="24" customHeight="1">
      <c r="A9" s="124" t="s">
        <v>30</v>
      </c>
      <c r="B9" s="125" t="s">
        <v>285</v>
      </c>
      <c r="C9" s="126" t="s">
        <v>659</v>
      </c>
      <c r="D9" s="127" t="s">
        <v>63</v>
      </c>
      <c r="E9" s="166">
        <v>1</v>
      </c>
      <c r="F9" s="474"/>
      <c r="G9" s="129">
        <f t="shared" si="0"/>
        <v>0</v>
      </c>
    </row>
    <row r="10" spans="1:7" ht="24" customHeight="1">
      <c r="A10" s="124" t="s">
        <v>35</v>
      </c>
      <c r="B10" s="125" t="s">
        <v>286</v>
      </c>
      <c r="C10" s="126" t="s">
        <v>659</v>
      </c>
      <c r="D10" s="127" t="s">
        <v>63</v>
      </c>
      <c r="E10" s="166">
        <v>1</v>
      </c>
      <c r="F10" s="474"/>
      <c r="G10" s="129">
        <f t="shared" si="0"/>
        <v>0</v>
      </c>
    </row>
    <row r="11" spans="1:7" ht="24" customHeight="1">
      <c r="A11" s="124" t="s">
        <v>38</v>
      </c>
      <c r="B11" s="125" t="s">
        <v>662</v>
      </c>
      <c r="C11" s="126"/>
      <c r="D11" s="127" t="s">
        <v>63</v>
      </c>
      <c r="E11" s="166">
        <v>1</v>
      </c>
      <c r="F11" s="474"/>
      <c r="G11" s="129">
        <f t="shared" si="0"/>
        <v>0</v>
      </c>
    </row>
    <row r="12" spans="1:7" ht="24" customHeight="1">
      <c r="A12" s="124" t="s">
        <v>41</v>
      </c>
      <c r="B12" s="125" t="s">
        <v>663</v>
      </c>
      <c r="C12" s="126"/>
      <c r="D12" s="127" t="s">
        <v>63</v>
      </c>
      <c r="E12" s="166">
        <v>2</v>
      </c>
      <c r="F12" s="474"/>
      <c r="G12" s="129">
        <f t="shared" si="0"/>
        <v>0</v>
      </c>
    </row>
    <row r="13" spans="1:7" ht="24" customHeight="1">
      <c r="A13" s="124" t="s">
        <v>46</v>
      </c>
      <c r="B13" s="125" t="s">
        <v>664</v>
      </c>
      <c r="C13" s="126" t="s">
        <v>659</v>
      </c>
      <c r="D13" s="127" t="s">
        <v>63</v>
      </c>
      <c r="E13" s="166">
        <v>1</v>
      </c>
      <c r="F13" s="474"/>
      <c r="G13" s="129">
        <f t="shared" si="0"/>
        <v>0</v>
      </c>
    </row>
    <row r="14" spans="1:7" ht="24" customHeight="1">
      <c r="A14" s="124" t="s">
        <v>665</v>
      </c>
      <c r="B14" s="125" t="s">
        <v>666</v>
      </c>
      <c r="C14" s="126" t="s">
        <v>659</v>
      </c>
      <c r="D14" s="127" t="s">
        <v>63</v>
      </c>
      <c r="E14" s="166">
        <v>1</v>
      </c>
      <c r="F14" s="474"/>
      <c r="G14" s="129">
        <f t="shared" si="0"/>
        <v>0</v>
      </c>
    </row>
    <row r="15" spans="1:7" ht="24" customHeight="1">
      <c r="A15" s="124" t="s">
        <v>49</v>
      </c>
      <c r="B15" s="125" t="s">
        <v>667</v>
      </c>
      <c r="C15" s="126" t="s">
        <v>659</v>
      </c>
      <c r="D15" s="127" t="s">
        <v>63</v>
      </c>
      <c r="E15" s="166">
        <v>1</v>
      </c>
      <c r="F15" s="474"/>
      <c r="G15" s="129">
        <f t="shared" si="0"/>
        <v>0</v>
      </c>
    </row>
    <row r="16" spans="1:7" ht="24" customHeight="1">
      <c r="A16" s="124" t="s">
        <v>53</v>
      </c>
      <c r="B16" s="125" t="s">
        <v>668</v>
      </c>
      <c r="C16" s="126"/>
      <c r="D16" s="127" t="s">
        <v>63</v>
      </c>
      <c r="E16" s="166">
        <v>2</v>
      </c>
      <c r="F16" s="474"/>
      <c r="G16" s="129">
        <f t="shared" si="0"/>
        <v>0</v>
      </c>
    </row>
    <row r="17" spans="1:7" ht="24" customHeight="1">
      <c r="A17" s="124" t="s">
        <v>56</v>
      </c>
      <c r="B17" s="125" t="s">
        <v>669</v>
      </c>
      <c r="C17" s="126"/>
      <c r="D17" s="127" t="s">
        <v>63</v>
      </c>
      <c r="E17" s="166">
        <v>4</v>
      </c>
      <c r="F17" s="474"/>
      <c r="G17" s="129">
        <f t="shared" si="0"/>
        <v>0</v>
      </c>
    </row>
    <row r="18" spans="1:7" ht="24" customHeight="1">
      <c r="A18" s="124" t="s">
        <v>60</v>
      </c>
      <c r="B18" s="125" t="s">
        <v>670</v>
      </c>
      <c r="C18" s="126"/>
      <c r="D18" s="127" t="s">
        <v>63</v>
      </c>
      <c r="E18" s="166">
        <v>1</v>
      </c>
      <c r="F18" s="474"/>
      <c r="G18" s="129">
        <f t="shared" si="0"/>
        <v>0</v>
      </c>
    </row>
    <row r="19" spans="1:7" ht="24" customHeight="1">
      <c r="A19" s="124" t="s">
        <v>64</v>
      </c>
      <c r="B19" s="125" t="s">
        <v>671</v>
      </c>
      <c r="C19" s="126" t="s">
        <v>672</v>
      </c>
      <c r="D19" s="127" t="s">
        <v>63</v>
      </c>
      <c r="E19" s="166">
        <v>1</v>
      </c>
      <c r="F19" s="474"/>
      <c r="G19" s="129">
        <f t="shared" si="0"/>
        <v>0</v>
      </c>
    </row>
    <row r="20" spans="1:7" ht="24" customHeight="1">
      <c r="A20" s="124" t="s">
        <v>67</v>
      </c>
      <c r="B20" s="848" t="s">
        <v>1086</v>
      </c>
      <c r="C20" s="849"/>
      <c r="D20" s="127" t="s">
        <v>63</v>
      </c>
      <c r="E20" s="166">
        <v>10</v>
      </c>
      <c r="F20" s="474"/>
      <c r="G20" s="129">
        <f t="shared" si="0"/>
        <v>0</v>
      </c>
    </row>
    <row r="21" spans="1:7" s="56" customFormat="1" ht="17.100000000000001" customHeight="1">
      <c r="A21" s="130" t="s">
        <v>10</v>
      </c>
      <c r="B21" s="850" t="s">
        <v>673</v>
      </c>
      <c r="C21" s="851"/>
      <c r="D21" s="131"/>
      <c r="E21" s="128"/>
      <c r="F21" s="115"/>
      <c r="G21" s="132"/>
    </row>
    <row r="22" spans="1:7" ht="24" customHeight="1">
      <c r="A22" s="124" t="s">
        <v>80</v>
      </c>
      <c r="B22" s="852" t="s">
        <v>674</v>
      </c>
      <c r="C22" s="853"/>
      <c r="D22" s="127" t="s">
        <v>675</v>
      </c>
      <c r="E22" s="166">
        <f>E4</f>
        <v>22</v>
      </c>
      <c r="F22" s="474"/>
      <c r="G22" s="129">
        <f>E22*F22</f>
        <v>0</v>
      </c>
    </row>
    <row r="23" spans="1:7" ht="24" customHeight="1">
      <c r="A23" s="124" t="s">
        <v>87</v>
      </c>
      <c r="B23" s="852" t="s">
        <v>676</v>
      </c>
      <c r="C23" s="853"/>
      <c r="D23" s="127" t="s">
        <v>63</v>
      </c>
      <c r="E23" s="128">
        <v>0</v>
      </c>
      <c r="F23" s="115"/>
      <c r="G23" s="129"/>
    </row>
    <row r="24" spans="1:7" ht="24" customHeight="1">
      <c r="A24" s="124" t="s">
        <v>99</v>
      </c>
      <c r="B24" s="133" t="s">
        <v>677</v>
      </c>
      <c r="C24" s="133"/>
      <c r="D24" s="127" t="s">
        <v>37</v>
      </c>
      <c r="E24" s="128"/>
      <c r="F24" s="115"/>
      <c r="G24" s="129"/>
    </row>
    <row r="25" spans="1:7" ht="24" customHeight="1">
      <c r="A25" s="134" t="s">
        <v>122</v>
      </c>
      <c r="B25" s="848" t="s">
        <v>891</v>
      </c>
      <c r="C25" s="849"/>
      <c r="D25" s="114" t="s">
        <v>33</v>
      </c>
      <c r="E25" s="475">
        <v>100</v>
      </c>
      <c r="F25" s="474"/>
      <c r="G25" s="129">
        <f t="shared" ref="G25:G26" si="2">E25*F25</f>
        <v>0</v>
      </c>
    </row>
    <row r="26" spans="1:7" ht="19.5" customHeight="1">
      <c r="A26" s="124" t="s">
        <v>678</v>
      </c>
      <c r="B26" s="848" t="s">
        <v>679</v>
      </c>
      <c r="C26" s="849"/>
      <c r="D26" s="127" t="s">
        <v>33</v>
      </c>
      <c r="E26" s="475">
        <v>20</v>
      </c>
      <c r="F26" s="474"/>
      <c r="G26" s="129">
        <f t="shared" si="2"/>
        <v>0</v>
      </c>
    </row>
    <row r="27" spans="1:7" ht="17.100000000000001" customHeight="1">
      <c r="A27" s="135">
        <v>3</v>
      </c>
      <c r="B27" s="850" t="s">
        <v>609</v>
      </c>
      <c r="C27" s="851"/>
      <c r="D27" s="131"/>
      <c r="E27" s="128"/>
      <c r="F27" s="115">
        <v>0</v>
      </c>
      <c r="G27" s="129"/>
    </row>
    <row r="28" spans="1:7" ht="17.100000000000001" customHeight="1">
      <c r="A28" s="136" t="s">
        <v>146</v>
      </c>
      <c r="B28" s="850" t="s">
        <v>610</v>
      </c>
      <c r="C28" s="851"/>
      <c r="D28" s="120" t="s">
        <v>680</v>
      </c>
      <c r="E28" s="137">
        <f>200</f>
        <v>200</v>
      </c>
      <c r="F28" s="474"/>
      <c r="G28" s="129">
        <f>E28*F28</f>
        <v>0</v>
      </c>
    </row>
    <row r="29" spans="1:7" ht="24" customHeight="1">
      <c r="A29" s="854" t="s">
        <v>697</v>
      </c>
      <c r="B29" s="855"/>
      <c r="C29" s="855"/>
      <c r="D29" s="855"/>
      <c r="E29" s="855"/>
      <c r="F29" s="856"/>
      <c r="G29" s="138">
        <f>SUM(G5:G28)</f>
        <v>0</v>
      </c>
    </row>
    <row r="30" spans="1:7">
      <c r="A30" s="62"/>
      <c r="B30" s="62"/>
      <c r="C30" s="108"/>
      <c r="D30" s="108"/>
      <c r="E30" s="108"/>
    </row>
    <row r="31" spans="1:7" ht="15">
      <c r="A31" s="62"/>
      <c r="B31" s="77" t="s">
        <v>603</v>
      </c>
      <c r="C31" s="841" t="s">
        <v>604</v>
      </c>
      <c r="D31" s="841"/>
      <c r="E31" s="841"/>
    </row>
    <row r="32" spans="1:7" ht="15">
      <c r="A32" s="62"/>
      <c r="B32" s="78"/>
      <c r="C32" s="841"/>
      <c r="D32" s="841"/>
      <c r="E32" s="841"/>
    </row>
    <row r="33" spans="1:7" ht="15">
      <c r="A33" s="62"/>
      <c r="B33" s="78"/>
      <c r="C33" s="110"/>
      <c r="D33" s="111"/>
      <c r="E33" s="111"/>
    </row>
    <row r="34" spans="1:7" ht="15">
      <c r="A34" s="62"/>
      <c r="B34" s="79"/>
      <c r="C34" s="842"/>
      <c r="D34" s="842"/>
      <c r="E34" s="842"/>
    </row>
    <row r="35" spans="1:7" ht="15">
      <c r="A35" s="62"/>
      <c r="B35" s="80"/>
      <c r="C35" s="112"/>
      <c r="D35" s="111"/>
      <c r="E35" s="111"/>
    </row>
    <row r="36" spans="1:7" ht="15">
      <c r="A36" s="62"/>
      <c r="B36" s="81" t="s">
        <v>605</v>
      </c>
      <c r="C36" s="837" t="s">
        <v>630</v>
      </c>
      <c r="D36" s="837"/>
      <c r="E36" s="837"/>
    </row>
    <row r="37" spans="1:7">
      <c r="A37" s="62"/>
      <c r="B37" s="82" t="s">
        <v>606</v>
      </c>
      <c r="C37" s="838" t="s">
        <v>606</v>
      </c>
      <c r="D37" s="838"/>
      <c r="E37" s="838"/>
    </row>
    <row r="38" spans="1:7">
      <c r="A38" s="84"/>
      <c r="B38" s="84"/>
      <c r="C38" s="84"/>
      <c r="D38" s="84"/>
      <c r="E38" s="84"/>
    </row>
    <row r="42" spans="1:7" ht="24" customHeight="1">
      <c r="A42" s="843" t="s">
        <v>681</v>
      </c>
      <c r="B42" s="843"/>
      <c r="C42" s="843"/>
      <c r="D42" s="843"/>
      <c r="E42" s="843"/>
      <c r="F42" s="843"/>
      <c r="G42" s="843"/>
    </row>
    <row r="43" spans="1:7" ht="24" customHeight="1">
      <c r="A43" s="843" t="s">
        <v>682</v>
      </c>
      <c r="B43" s="843"/>
      <c r="C43" s="843"/>
      <c r="D43" s="843"/>
      <c r="E43" s="843"/>
      <c r="F43" s="843"/>
      <c r="G43" s="843"/>
    </row>
    <row r="44" spans="1:7" ht="24" customHeight="1">
      <c r="A44" s="843" t="s">
        <v>683</v>
      </c>
      <c r="B44" s="843"/>
      <c r="C44" s="843"/>
      <c r="D44" s="843"/>
      <c r="E44" s="843"/>
      <c r="F44" s="843"/>
      <c r="G44" s="843"/>
    </row>
    <row r="45" spans="1:7" ht="24" customHeight="1">
      <c r="A45" s="843" t="s">
        <v>684</v>
      </c>
      <c r="B45" s="843"/>
      <c r="C45" s="843"/>
      <c r="D45" s="843"/>
      <c r="E45" s="843"/>
      <c r="F45" s="843"/>
      <c r="G45" s="843"/>
    </row>
    <row r="46" spans="1:7" ht="24" customHeight="1">
      <c r="A46" s="843" t="s">
        <v>685</v>
      </c>
      <c r="B46" s="843"/>
      <c r="C46" s="843"/>
      <c r="D46" s="843"/>
      <c r="E46" s="843"/>
      <c r="F46" s="843"/>
      <c r="G46" s="843"/>
    </row>
    <row r="47" spans="1:7" ht="24" customHeight="1">
      <c r="A47" s="843" t="s">
        <v>686</v>
      </c>
      <c r="B47" s="843"/>
      <c r="C47" s="843"/>
      <c r="D47" s="843"/>
      <c r="E47" s="843"/>
      <c r="F47" s="843"/>
      <c r="G47" s="843"/>
    </row>
    <row r="48" spans="1:7" ht="24" customHeight="1">
      <c r="A48" s="843" t="s">
        <v>687</v>
      </c>
      <c r="B48" s="843"/>
      <c r="C48" s="843"/>
      <c r="D48" s="843"/>
      <c r="E48" s="843"/>
      <c r="F48" s="843"/>
      <c r="G48" s="843"/>
    </row>
    <row r="49" spans="1:7" ht="24" customHeight="1">
      <c r="A49" s="843" t="s">
        <v>688</v>
      </c>
      <c r="B49" s="843"/>
      <c r="C49" s="843"/>
      <c r="D49" s="843"/>
      <c r="E49" s="843"/>
      <c r="F49" s="843"/>
      <c r="G49" s="843"/>
    </row>
    <row r="50" spans="1:7" ht="24" customHeight="1">
      <c r="A50" s="843" t="s">
        <v>689</v>
      </c>
      <c r="B50" s="843"/>
      <c r="C50" s="843"/>
      <c r="D50" s="843"/>
      <c r="E50" s="843"/>
      <c r="F50" s="843"/>
      <c r="G50" s="843"/>
    </row>
    <row r="51" spans="1:7" ht="24" customHeight="1">
      <c r="A51" s="843" t="s">
        <v>690</v>
      </c>
      <c r="B51" s="843"/>
      <c r="C51" s="843"/>
      <c r="D51" s="843"/>
      <c r="E51" s="843"/>
      <c r="F51" s="843"/>
      <c r="G51" s="843"/>
    </row>
    <row r="52" spans="1:7" ht="24" customHeight="1">
      <c r="A52" s="843" t="s">
        <v>691</v>
      </c>
      <c r="B52" s="843"/>
      <c r="C52" s="843"/>
      <c r="D52" s="843"/>
      <c r="E52" s="843"/>
      <c r="F52" s="843"/>
      <c r="G52" s="843"/>
    </row>
    <row r="53" spans="1:7" ht="24" customHeight="1">
      <c r="A53" s="843" t="s">
        <v>692</v>
      </c>
      <c r="B53" s="843"/>
      <c r="C53" s="843"/>
      <c r="D53" s="843"/>
      <c r="E53" s="843"/>
      <c r="F53" s="843"/>
      <c r="G53" s="843"/>
    </row>
    <row r="54" spans="1:7" ht="24" customHeight="1">
      <c r="A54" s="843" t="s">
        <v>693</v>
      </c>
      <c r="B54" s="843"/>
      <c r="C54" s="843"/>
      <c r="D54" s="843"/>
      <c r="E54" s="843"/>
      <c r="F54" s="843"/>
      <c r="G54" s="843"/>
    </row>
    <row r="55" spans="1:7" ht="24" customHeight="1">
      <c r="A55" s="843" t="s">
        <v>694</v>
      </c>
      <c r="B55" s="843"/>
      <c r="C55" s="843"/>
      <c r="D55" s="843"/>
      <c r="E55" s="843"/>
      <c r="F55" s="843"/>
      <c r="G55" s="843"/>
    </row>
    <row r="56" spans="1:7" ht="24" customHeight="1">
      <c r="A56" s="843" t="s">
        <v>695</v>
      </c>
      <c r="B56" s="843"/>
      <c r="C56" s="843"/>
      <c r="D56" s="843"/>
      <c r="E56" s="843"/>
      <c r="F56" s="843"/>
      <c r="G56" s="843"/>
    </row>
    <row r="57" spans="1:7" ht="24" customHeight="1">
      <c r="A57" s="843" t="s">
        <v>696</v>
      </c>
      <c r="B57" s="843"/>
      <c r="C57" s="843"/>
      <c r="D57" s="843"/>
      <c r="E57" s="843"/>
      <c r="F57" s="843"/>
      <c r="G57" s="843"/>
    </row>
    <row r="58" spans="1:7" ht="24" customHeight="1"/>
  </sheetData>
  <protectedRanges>
    <protectedRange sqref="E18 D21:D24 F2:F4" name="Диапазон1_3_1"/>
  </protectedRanges>
  <mergeCells count="32">
    <mergeCell ref="A56:G56"/>
    <mergeCell ref="A51:G51"/>
    <mergeCell ref="A52:G52"/>
    <mergeCell ref="A53:G53"/>
    <mergeCell ref="A54:G54"/>
    <mergeCell ref="A55:G55"/>
    <mergeCell ref="A46:G46"/>
    <mergeCell ref="A47:G47"/>
    <mergeCell ref="A48:G48"/>
    <mergeCell ref="A49:G49"/>
    <mergeCell ref="A50:G50"/>
    <mergeCell ref="C37:E37"/>
    <mergeCell ref="A42:G42"/>
    <mergeCell ref="A43:G43"/>
    <mergeCell ref="A44:G44"/>
    <mergeCell ref="A45:G45"/>
    <mergeCell ref="A57:G57"/>
    <mergeCell ref="B3:C3"/>
    <mergeCell ref="B4:C4"/>
    <mergeCell ref="B20:C20"/>
    <mergeCell ref="B21:C21"/>
    <mergeCell ref="B22:C22"/>
    <mergeCell ref="B23:C23"/>
    <mergeCell ref="B25:C25"/>
    <mergeCell ref="B26:C26"/>
    <mergeCell ref="B27:C27"/>
    <mergeCell ref="B28:C28"/>
    <mergeCell ref="A29:F29"/>
    <mergeCell ref="C31:E31"/>
    <mergeCell ref="C32:E32"/>
    <mergeCell ref="C34:E34"/>
    <mergeCell ref="C36:E36"/>
  </mergeCells>
  <pageMargins left="0.7" right="0.7" top="0.75" bottom="0.75" header="0.3" footer="0.3"/>
  <customProperties>
    <customPr name="_pios_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34"/>
  <sheetViews>
    <sheetView workbookViewId="0">
      <selection activeCell="G58" sqref="G58"/>
    </sheetView>
  </sheetViews>
  <sheetFormatPr defaultColWidth="8.85546875" defaultRowHeight="12.75"/>
  <cols>
    <col min="1" max="1" width="5" customWidth="1"/>
    <col min="2" max="2" width="17.85546875" customWidth="1"/>
    <col min="3" max="3" width="11.85546875" customWidth="1"/>
    <col min="4" max="4" width="11.42578125" customWidth="1"/>
    <col min="5" max="5" width="7" customWidth="1"/>
    <col min="6" max="8" width="14.85546875" customWidth="1"/>
  </cols>
  <sheetData>
    <row r="1" spans="1:8">
      <c r="B1" s="23"/>
      <c r="C1" s="24"/>
      <c r="H1" s="25"/>
    </row>
    <row r="2" spans="1:8">
      <c r="C2" s="24"/>
      <c r="H2" s="25"/>
    </row>
    <row r="3" spans="1:8">
      <c r="C3" s="24"/>
    </row>
    <row r="4" spans="1:8">
      <c r="C4" s="24"/>
    </row>
    <row r="5" spans="1:8">
      <c r="C5" s="26"/>
    </row>
    <row r="6" spans="1:8">
      <c r="C6" s="24"/>
    </row>
    <row r="7" spans="1:8">
      <c r="F7" s="27"/>
    </row>
    <row r="8" spans="1:8">
      <c r="F8" s="27"/>
    </row>
    <row r="9" spans="1:8" ht="24.75" customHeight="1">
      <c r="B9" s="28"/>
      <c r="C9" s="858"/>
      <c r="D9" s="858"/>
      <c r="E9" s="858"/>
      <c r="F9" s="858"/>
      <c r="G9" s="858"/>
      <c r="H9" s="858"/>
    </row>
    <row r="10" spans="1:8">
      <c r="C10" s="24"/>
    </row>
    <row r="11" spans="1:8">
      <c r="C11" s="24"/>
    </row>
    <row r="12" spans="1:8" ht="15.75" customHeight="1">
      <c r="B12" s="23"/>
      <c r="C12" s="24"/>
    </row>
    <row r="14" spans="1:8">
      <c r="B14" s="29"/>
    </row>
    <row r="15" spans="1:8" ht="15.75">
      <c r="A15" s="859"/>
      <c r="B15" s="859"/>
      <c r="C15" s="859"/>
      <c r="D15" s="859"/>
      <c r="E15" s="859"/>
      <c r="F15" s="859"/>
      <c r="G15" s="859"/>
      <c r="H15" s="859"/>
    </row>
    <row r="16" spans="1:8" ht="15.75">
      <c r="A16" s="859"/>
      <c r="B16" s="859"/>
      <c r="C16" s="859"/>
      <c r="D16" s="859"/>
      <c r="E16" s="859"/>
      <c r="F16" s="859"/>
      <c r="G16" s="859"/>
      <c r="H16" s="859"/>
    </row>
    <row r="18" spans="1:8" s="24" customFormat="1">
      <c r="A18" s="209" t="s">
        <v>631</v>
      </c>
      <c r="B18" s="210" t="s">
        <v>632</v>
      </c>
      <c r="C18" s="211"/>
      <c r="D18" s="212"/>
      <c r="E18" s="209" t="s">
        <v>633</v>
      </c>
      <c r="F18" s="209" t="s">
        <v>634</v>
      </c>
      <c r="G18" s="209" t="s">
        <v>635</v>
      </c>
      <c r="H18" s="209" t="s">
        <v>636</v>
      </c>
    </row>
    <row r="19" spans="1:8" s="30" customFormat="1">
      <c r="A19" s="213">
        <v>1</v>
      </c>
      <c r="B19" s="857" t="s">
        <v>637</v>
      </c>
      <c r="C19" s="857"/>
      <c r="D19" s="857"/>
      <c r="E19" s="214" t="s">
        <v>29</v>
      </c>
      <c r="F19" s="215">
        <v>2</v>
      </c>
      <c r="G19" s="216">
        <v>1416.67</v>
      </c>
      <c r="H19" s="216">
        <v>2833.34</v>
      </c>
    </row>
    <row r="20" spans="1:8" s="30" customFormat="1">
      <c r="A20" s="213">
        <v>2</v>
      </c>
      <c r="B20" s="857" t="s">
        <v>638</v>
      </c>
      <c r="C20" s="857"/>
      <c r="D20" s="857"/>
      <c r="E20" s="214" t="s">
        <v>29</v>
      </c>
      <c r="F20" s="215">
        <v>2</v>
      </c>
      <c r="G20" s="216">
        <v>30.83</v>
      </c>
      <c r="H20" s="216">
        <v>61.66</v>
      </c>
    </row>
    <row r="21" spans="1:8" s="30" customFormat="1">
      <c r="A21" s="213">
        <v>3</v>
      </c>
      <c r="B21" s="857" t="s">
        <v>639</v>
      </c>
      <c r="C21" s="857"/>
      <c r="D21" s="857"/>
      <c r="E21" s="214" t="s">
        <v>29</v>
      </c>
      <c r="F21" s="215">
        <v>2</v>
      </c>
      <c r="G21" s="216">
        <v>30.83</v>
      </c>
      <c r="H21" s="216">
        <v>61.66</v>
      </c>
    </row>
    <row r="22" spans="1:8" s="30" customFormat="1">
      <c r="A22" s="213">
        <v>4</v>
      </c>
      <c r="B22" s="857" t="s">
        <v>640</v>
      </c>
      <c r="C22" s="857"/>
      <c r="D22" s="857"/>
      <c r="E22" s="214" t="s">
        <v>29</v>
      </c>
      <c r="F22" s="215">
        <v>2</v>
      </c>
      <c r="G22" s="216">
        <v>30.83</v>
      </c>
      <c r="H22" s="216">
        <v>61.66</v>
      </c>
    </row>
    <row r="23" spans="1:8" s="30" customFormat="1">
      <c r="A23" s="213">
        <v>5</v>
      </c>
      <c r="B23" s="857" t="s">
        <v>641</v>
      </c>
      <c r="C23" s="857"/>
      <c r="D23" s="857"/>
      <c r="E23" s="214" t="s">
        <v>29</v>
      </c>
      <c r="F23" s="215">
        <v>2</v>
      </c>
      <c r="G23" s="216">
        <v>25</v>
      </c>
      <c r="H23" s="216">
        <v>50</v>
      </c>
    </row>
    <row r="24" spans="1:8" s="30" customFormat="1">
      <c r="A24" s="213">
        <v>6</v>
      </c>
      <c r="B24" s="857" t="s">
        <v>642</v>
      </c>
      <c r="C24" s="857"/>
      <c r="D24" s="857"/>
      <c r="E24" s="214" t="s">
        <v>29</v>
      </c>
      <c r="F24" s="215">
        <v>2</v>
      </c>
      <c r="G24" s="216">
        <v>40</v>
      </c>
      <c r="H24" s="216">
        <v>80</v>
      </c>
    </row>
    <row r="25" spans="1:8" s="30" customFormat="1">
      <c r="A25" s="213">
        <v>7</v>
      </c>
      <c r="B25" s="857" t="s">
        <v>643</v>
      </c>
      <c r="C25" s="857"/>
      <c r="D25" s="857"/>
      <c r="E25" s="214" t="s">
        <v>29</v>
      </c>
      <c r="F25" s="215">
        <v>2</v>
      </c>
      <c r="G25" s="216">
        <v>74.17</v>
      </c>
      <c r="H25" s="216">
        <v>148.34</v>
      </c>
    </row>
    <row r="26" spans="1:8" s="30" customFormat="1">
      <c r="A26" s="213">
        <v>8</v>
      </c>
      <c r="B26" s="857" t="s">
        <v>644</v>
      </c>
      <c r="C26" s="857"/>
      <c r="D26" s="857"/>
      <c r="E26" s="214" t="s">
        <v>29</v>
      </c>
      <c r="F26" s="215">
        <v>5</v>
      </c>
      <c r="G26" s="216">
        <v>121.67</v>
      </c>
      <c r="H26" s="216">
        <v>608.35</v>
      </c>
    </row>
    <row r="27" spans="1:8" s="30" customFormat="1">
      <c r="A27" s="213">
        <v>9</v>
      </c>
      <c r="B27" s="857" t="s">
        <v>645</v>
      </c>
      <c r="C27" s="857"/>
      <c r="D27" s="857"/>
      <c r="E27" s="214" t="s">
        <v>29</v>
      </c>
      <c r="F27" s="215">
        <v>2</v>
      </c>
      <c r="G27" s="216">
        <v>341.67</v>
      </c>
      <c r="H27" s="216">
        <v>683.34</v>
      </c>
    </row>
    <row r="28" spans="1:8" s="30" customFormat="1">
      <c r="A28" s="213">
        <v>10</v>
      </c>
      <c r="B28" s="857" t="s">
        <v>646</v>
      </c>
      <c r="C28" s="857"/>
      <c r="D28" s="857"/>
      <c r="E28" s="214" t="s">
        <v>29</v>
      </c>
      <c r="F28" s="215">
        <v>8</v>
      </c>
      <c r="G28" s="216">
        <v>98.33</v>
      </c>
      <c r="H28" s="216">
        <v>786.64</v>
      </c>
    </row>
    <row r="29" spans="1:8" s="30" customFormat="1">
      <c r="A29" s="213">
        <v>11</v>
      </c>
      <c r="B29" s="857" t="s">
        <v>647</v>
      </c>
      <c r="C29" s="857"/>
      <c r="D29" s="857"/>
      <c r="E29" s="214" t="s">
        <v>29</v>
      </c>
      <c r="F29" s="215">
        <v>4</v>
      </c>
      <c r="G29" s="216">
        <v>1241.67</v>
      </c>
      <c r="H29" s="216">
        <v>4966.68</v>
      </c>
    </row>
    <row r="30" spans="1:8" ht="15">
      <c r="A30" s="217"/>
      <c r="B30" s="217"/>
      <c r="C30" s="217"/>
      <c r="D30" s="217"/>
      <c r="E30" s="217"/>
      <c r="F30" s="217"/>
      <c r="G30" s="31" t="s">
        <v>648</v>
      </c>
      <c r="H30" s="218">
        <v>0</v>
      </c>
    </row>
    <row r="31" spans="1:8" ht="15">
      <c r="G31" s="31" t="s">
        <v>649</v>
      </c>
      <c r="H31" s="218">
        <v>10341.67</v>
      </c>
    </row>
    <row r="32" spans="1:8" ht="15">
      <c r="G32" s="31" t="s">
        <v>650</v>
      </c>
      <c r="H32" s="218">
        <v>2068.33</v>
      </c>
    </row>
    <row r="33" spans="7:8" ht="15">
      <c r="G33" s="31" t="s">
        <v>651</v>
      </c>
      <c r="H33" s="218">
        <v>12410</v>
      </c>
    </row>
    <row r="34" spans="7:8">
      <c r="H34" s="32"/>
    </row>
  </sheetData>
  <mergeCells count="14">
    <mergeCell ref="B28:D28"/>
    <mergeCell ref="B29:D29"/>
    <mergeCell ref="B22:D22"/>
    <mergeCell ref="B23:D23"/>
    <mergeCell ref="B24:D24"/>
    <mergeCell ref="B25:D25"/>
    <mergeCell ref="B26:D26"/>
    <mergeCell ref="B27:D27"/>
    <mergeCell ref="B21:D21"/>
    <mergeCell ref="C9:H9"/>
    <mergeCell ref="A15:H15"/>
    <mergeCell ref="A16:H16"/>
    <mergeCell ref="B19:D19"/>
    <mergeCell ref="B20:D20"/>
  </mergeCells>
  <pageMargins left="0.7" right="0.7" top="0.75" bottom="0.75" header="0.3" footer="0.3"/>
  <customProperties>
    <customPr name="_pios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O31"/>
  <sheetViews>
    <sheetView topLeftCell="A19" workbookViewId="0">
      <selection activeCell="B21" sqref="B21"/>
    </sheetView>
  </sheetViews>
  <sheetFormatPr defaultColWidth="11.5703125" defaultRowHeight="12.75"/>
  <cols>
    <col min="1" max="1" width="8.5703125" style="61" customWidth="1"/>
    <col min="2" max="2" width="46.85546875" style="61" customWidth="1"/>
    <col min="3" max="3" width="13.85546875" style="61" customWidth="1"/>
    <col min="4" max="4" width="12.5703125" style="61" customWidth="1"/>
    <col min="5" max="5" width="12.42578125" style="61" customWidth="1"/>
    <col min="6" max="6" width="16.42578125" style="61" customWidth="1"/>
    <col min="7" max="7" width="17" style="61" customWidth="1"/>
    <col min="8" max="8" width="16.140625" style="61" customWidth="1"/>
    <col min="9" max="10" width="14.42578125" style="61" customWidth="1"/>
    <col min="11" max="11" width="10.85546875" style="61" customWidth="1"/>
    <col min="12" max="12" width="9.5703125" style="61" customWidth="1"/>
    <col min="13" max="13" width="8.5703125" style="278" customWidth="1"/>
    <col min="14" max="14" width="10.140625" style="61" customWidth="1"/>
    <col min="15" max="15" width="8.5703125" style="61" customWidth="1"/>
    <col min="16" max="16" width="9.5703125" style="61" customWidth="1"/>
    <col min="17" max="17" width="10.42578125" style="61" customWidth="1"/>
    <col min="18" max="249" width="8.5703125" style="61" customWidth="1"/>
    <col min="250" max="16384" width="11.5703125" style="279"/>
  </cols>
  <sheetData>
    <row r="1" spans="1:249">
      <c r="A1" s="357"/>
      <c r="B1" s="358" t="s">
        <v>841</v>
      </c>
      <c r="C1" s="358"/>
      <c r="D1" s="358"/>
      <c r="E1" s="358"/>
      <c r="F1" s="358"/>
      <c r="G1" s="358"/>
      <c r="H1" s="357"/>
      <c r="I1" s="357"/>
      <c r="J1" s="357"/>
      <c r="K1" s="357"/>
      <c r="L1" s="357"/>
      <c r="M1" s="359"/>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357"/>
      <c r="DK1" s="357"/>
      <c r="DL1" s="357"/>
      <c r="DM1" s="357"/>
      <c r="DN1" s="357"/>
      <c r="DO1" s="357"/>
      <c r="DP1" s="357"/>
      <c r="DQ1" s="357"/>
      <c r="DR1" s="357"/>
      <c r="DS1" s="357"/>
      <c r="DT1" s="357"/>
      <c r="DU1" s="357"/>
      <c r="DV1" s="357"/>
      <c r="DW1" s="357"/>
      <c r="DX1" s="357"/>
      <c r="DY1" s="357"/>
      <c r="DZ1" s="357"/>
      <c r="EA1" s="357"/>
      <c r="EB1" s="357"/>
      <c r="EC1" s="357"/>
      <c r="ED1" s="357"/>
      <c r="EE1" s="357"/>
      <c r="EF1" s="357"/>
      <c r="EG1" s="357"/>
      <c r="EH1" s="357"/>
      <c r="EI1" s="357"/>
      <c r="EJ1" s="357"/>
      <c r="EK1" s="357"/>
      <c r="EL1" s="357"/>
      <c r="EM1" s="357"/>
      <c r="EN1" s="357"/>
      <c r="EO1" s="357"/>
      <c r="EP1" s="357"/>
      <c r="EQ1" s="357"/>
      <c r="ER1" s="357"/>
      <c r="ES1" s="357"/>
      <c r="ET1" s="357"/>
      <c r="EU1" s="357"/>
      <c r="EV1" s="357"/>
      <c r="EW1" s="357"/>
      <c r="EX1" s="357"/>
      <c r="EY1" s="357"/>
      <c r="EZ1" s="357"/>
      <c r="FA1" s="357"/>
      <c r="FB1" s="357"/>
      <c r="FC1" s="357"/>
      <c r="FD1" s="357"/>
      <c r="FE1" s="357"/>
      <c r="FF1" s="357"/>
      <c r="FG1" s="357"/>
      <c r="FH1" s="357"/>
      <c r="FI1" s="357"/>
      <c r="FJ1" s="357"/>
      <c r="FK1" s="357"/>
      <c r="FL1" s="357"/>
      <c r="FM1" s="357"/>
      <c r="FN1" s="357"/>
      <c r="FO1" s="357"/>
      <c r="FP1" s="357"/>
      <c r="FQ1" s="357"/>
      <c r="FR1" s="357"/>
      <c r="FS1" s="357"/>
      <c r="FT1" s="357"/>
      <c r="FU1" s="357"/>
      <c r="FV1" s="357"/>
      <c r="FW1" s="357"/>
      <c r="FX1" s="357"/>
      <c r="FY1" s="357"/>
      <c r="FZ1" s="357"/>
      <c r="GA1" s="357"/>
      <c r="GB1" s="357"/>
      <c r="GC1" s="357"/>
      <c r="GD1" s="357"/>
      <c r="GE1" s="357"/>
      <c r="GF1" s="357"/>
      <c r="GG1" s="357"/>
      <c r="GH1" s="357"/>
      <c r="GI1" s="357"/>
      <c r="GJ1" s="357"/>
      <c r="GK1" s="357"/>
      <c r="GL1" s="357"/>
      <c r="GM1" s="357"/>
      <c r="GN1" s="357"/>
      <c r="GO1" s="357"/>
      <c r="GP1" s="357"/>
      <c r="GQ1" s="357"/>
      <c r="GR1" s="357"/>
      <c r="GS1" s="357"/>
      <c r="GT1" s="357"/>
      <c r="GU1" s="357"/>
      <c r="GV1" s="357"/>
      <c r="GW1" s="357"/>
      <c r="GX1" s="357"/>
      <c r="GY1" s="357"/>
      <c r="GZ1" s="357"/>
      <c r="HA1" s="357"/>
      <c r="HB1" s="357"/>
      <c r="HC1" s="357"/>
      <c r="HD1" s="357"/>
      <c r="HE1" s="357"/>
      <c r="HF1" s="357"/>
      <c r="HG1" s="357"/>
      <c r="HH1" s="357"/>
      <c r="HI1" s="357"/>
      <c r="HJ1" s="357"/>
      <c r="HK1" s="357"/>
      <c r="HL1" s="357"/>
      <c r="HM1" s="357"/>
      <c r="HN1" s="357"/>
      <c r="HO1" s="357"/>
      <c r="HP1" s="357"/>
      <c r="HQ1" s="357"/>
      <c r="HR1" s="357"/>
      <c r="HS1" s="357"/>
      <c r="HT1" s="357"/>
      <c r="HU1" s="357"/>
      <c r="HV1" s="357"/>
      <c r="HW1" s="357"/>
      <c r="HX1" s="357"/>
      <c r="HY1" s="357"/>
      <c r="HZ1" s="357"/>
      <c r="IA1" s="357"/>
      <c r="IB1" s="357"/>
      <c r="IC1" s="357"/>
      <c r="ID1" s="357"/>
      <c r="IE1" s="357"/>
      <c r="IF1" s="357"/>
      <c r="IG1" s="357"/>
      <c r="IH1" s="357"/>
      <c r="II1" s="357"/>
      <c r="IJ1" s="357"/>
      <c r="IK1" s="357"/>
      <c r="IL1" s="357"/>
      <c r="IM1" s="357"/>
      <c r="IN1" s="357"/>
      <c r="IO1" s="357"/>
    </row>
    <row r="2" spans="1:249" ht="15.75">
      <c r="A2" s="360"/>
      <c r="G2" s="361" t="s">
        <v>842</v>
      </c>
      <c r="H2" s="361" t="s">
        <v>843</v>
      </c>
      <c r="I2" s="362">
        <v>46.148600000000002</v>
      </c>
    </row>
    <row r="3" spans="1:249" ht="38.25">
      <c r="A3" s="363" t="s">
        <v>3</v>
      </c>
      <c r="B3" s="363" t="s">
        <v>844</v>
      </c>
      <c r="C3" s="363" t="s">
        <v>6</v>
      </c>
      <c r="D3" s="363" t="s">
        <v>7</v>
      </c>
      <c r="E3" s="363" t="s">
        <v>845</v>
      </c>
      <c r="F3" s="363" t="s">
        <v>846</v>
      </c>
      <c r="G3" s="363" t="s">
        <v>611</v>
      </c>
      <c r="H3" s="363" t="s">
        <v>731</v>
      </c>
      <c r="I3" s="364" t="s">
        <v>847</v>
      </c>
    </row>
    <row r="4" spans="1:249" ht="15.75">
      <c r="A4" s="860" t="s">
        <v>848</v>
      </c>
      <c r="B4" s="860"/>
      <c r="C4" s="860"/>
      <c r="D4" s="860"/>
      <c r="E4" s="860"/>
      <c r="F4" s="860"/>
      <c r="G4" s="365">
        <f>SUM(G5:G12)</f>
        <v>42447.540799999995</v>
      </c>
      <c r="H4" s="366"/>
      <c r="I4" s="367"/>
      <c r="J4" s="277"/>
      <c r="K4" s="277"/>
    </row>
    <row r="5" spans="1:249" ht="25.5">
      <c r="A5" s="368" t="s">
        <v>2</v>
      </c>
      <c r="B5" s="369" t="s">
        <v>849</v>
      </c>
      <c r="C5" s="370" t="s">
        <v>63</v>
      </c>
      <c r="D5" s="371">
        <v>2</v>
      </c>
      <c r="E5" s="372">
        <v>1080</v>
      </c>
      <c r="F5" s="372">
        <v>5167.5</v>
      </c>
      <c r="G5" s="373">
        <f t="shared" ref="G5:G12" si="0">(F5+E5)*D5</f>
        <v>12495</v>
      </c>
      <c r="H5" s="374"/>
      <c r="I5" s="375"/>
      <c r="J5" s="287"/>
      <c r="K5" s="277"/>
      <c r="O5" s="278"/>
      <c r="P5" s="278"/>
    </row>
    <row r="6" spans="1:249" ht="38.25">
      <c r="A6" s="368" t="s">
        <v>10</v>
      </c>
      <c r="B6" s="376" t="s">
        <v>850</v>
      </c>
      <c r="C6" s="377" t="s">
        <v>33</v>
      </c>
      <c r="D6" s="378">
        <v>5.99</v>
      </c>
      <c r="E6" s="372">
        <v>180</v>
      </c>
      <c r="F6" s="372">
        <v>610</v>
      </c>
      <c r="G6" s="373">
        <f t="shared" si="0"/>
        <v>4732.1000000000004</v>
      </c>
      <c r="H6" s="379" t="s">
        <v>748</v>
      </c>
      <c r="I6" s="375"/>
      <c r="J6" s="287"/>
      <c r="K6" s="277"/>
      <c r="O6" s="278"/>
      <c r="P6" s="278"/>
    </row>
    <row r="7" spans="1:249" ht="38.25">
      <c r="A7" s="368" t="s">
        <v>11</v>
      </c>
      <c r="B7" s="369" t="s">
        <v>750</v>
      </c>
      <c r="C7" s="370" t="s">
        <v>63</v>
      </c>
      <c r="D7" s="371">
        <v>2</v>
      </c>
      <c r="E7" s="372">
        <v>600</v>
      </c>
      <c r="F7" s="380">
        <f>I7*I2</f>
        <v>6506.9526000000005</v>
      </c>
      <c r="G7" s="373">
        <f t="shared" si="0"/>
        <v>14213.905200000001</v>
      </c>
      <c r="H7" s="381" t="s">
        <v>751</v>
      </c>
      <c r="I7" s="382">
        <v>141</v>
      </c>
      <c r="J7" s="287"/>
      <c r="K7" s="277"/>
      <c r="O7" s="278"/>
      <c r="P7" s="278"/>
    </row>
    <row r="8" spans="1:249" ht="25.5">
      <c r="A8" s="368" t="s">
        <v>12</v>
      </c>
      <c r="B8" s="369" t="s">
        <v>851</v>
      </c>
      <c r="C8" s="370" t="s">
        <v>63</v>
      </c>
      <c r="D8" s="371">
        <v>2</v>
      </c>
      <c r="E8" s="372">
        <v>100</v>
      </c>
      <c r="F8" s="380">
        <f>I8*I2</f>
        <v>1061.4177999999999</v>
      </c>
      <c r="G8" s="373">
        <f t="shared" si="0"/>
        <v>2322.8355999999999</v>
      </c>
      <c r="H8" s="381" t="s">
        <v>852</v>
      </c>
      <c r="I8" s="382">
        <v>23</v>
      </c>
      <c r="J8" s="287"/>
      <c r="K8" s="277"/>
      <c r="O8" s="278"/>
      <c r="P8" s="278"/>
    </row>
    <row r="9" spans="1:249" ht="25.5">
      <c r="A9" s="368" t="s">
        <v>13</v>
      </c>
      <c r="B9" s="369" t="s">
        <v>752</v>
      </c>
      <c r="C9" s="370" t="s">
        <v>63</v>
      </c>
      <c r="D9" s="371">
        <v>4</v>
      </c>
      <c r="E9" s="372">
        <v>130</v>
      </c>
      <c r="F9" s="380">
        <v>120</v>
      </c>
      <c r="G9" s="373">
        <f t="shared" si="0"/>
        <v>1000</v>
      </c>
      <c r="H9" s="374"/>
      <c r="I9" s="383"/>
      <c r="J9" s="276"/>
      <c r="K9" s="277"/>
      <c r="O9" s="278"/>
      <c r="P9" s="278"/>
    </row>
    <row r="10" spans="1:249" ht="25.5">
      <c r="A10" s="368">
        <v>6</v>
      </c>
      <c r="B10" s="384" t="s">
        <v>753</v>
      </c>
      <c r="C10" s="370" t="s">
        <v>63</v>
      </c>
      <c r="D10" s="371">
        <v>2</v>
      </c>
      <c r="E10" s="372">
        <v>500</v>
      </c>
      <c r="F10" s="380">
        <v>2085</v>
      </c>
      <c r="G10" s="378">
        <f t="shared" si="0"/>
        <v>5170</v>
      </c>
      <c r="H10" s="374"/>
      <c r="I10" s="385"/>
      <c r="J10" s="287"/>
      <c r="O10" s="278"/>
      <c r="P10" s="278"/>
    </row>
    <row r="11" spans="1:249">
      <c r="A11" s="368" t="s">
        <v>15</v>
      </c>
      <c r="B11" s="369" t="s">
        <v>754</v>
      </c>
      <c r="C11" s="370" t="s">
        <v>63</v>
      </c>
      <c r="D11" s="371">
        <v>2</v>
      </c>
      <c r="E11" s="372">
        <v>300</v>
      </c>
      <c r="F11" s="372">
        <v>556.85</v>
      </c>
      <c r="G11" s="373">
        <f t="shared" si="0"/>
        <v>1713.7</v>
      </c>
      <c r="H11" s="374"/>
      <c r="I11" s="383"/>
      <c r="J11" s="276"/>
      <c r="K11" s="277"/>
      <c r="O11" s="278"/>
      <c r="P11" s="278"/>
    </row>
    <row r="12" spans="1:249">
      <c r="A12" s="368" t="s">
        <v>16</v>
      </c>
      <c r="B12" s="369" t="s">
        <v>853</v>
      </c>
      <c r="C12" s="370" t="s">
        <v>854</v>
      </c>
      <c r="D12" s="371">
        <v>2</v>
      </c>
      <c r="E12" s="380">
        <v>400</v>
      </c>
      <c r="F12" s="386">
        <v>0</v>
      </c>
      <c r="G12" s="373">
        <f t="shared" si="0"/>
        <v>800</v>
      </c>
      <c r="H12" s="374"/>
      <c r="I12" s="383"/>
      <c r="J12" s="276"/>
      <c r="K12" s="277"/>
      <c r="O12" s="278"/>
      <c r="P12" s="278"/>
    </row>
    <row r="13" spans="1:249" ht="15.75">
      <c r="A13" s="861" t="s">
        <v>855</v>
      </c>
      <c r="B13" s="861"/>
      <c r="C13" s="861"/>
      <c r="D13" s="861"/>
      <c r="E13" s="861"/>
      <c r="F13" s="861"/>
      <c r="G13" s="387">
        <f>SUM(G14:G14)</f>
        <v>1600</v>
      </c>
      <c r="H13" s="366"/>
      <c r="I13" s="388"/>
      <c r="J13" s="287"/>
      <c r="O13" s="278"/>
      <c r="P13" s="278"/>
    </row>
    <row r="14" spans="1:249" ht="22.5">
      <c r="A14" s="389">
        <v>1</v>
      </c>
      <c r="B14" s="376" t="s">
        <v>856</v>
      </c>
      <c r="C14" s="370" t="s">
        <v>63</v>
      </c>
      <c r="D14" s="371">
        <v>2</v>
      </c>
      <c r="E14" s="372">
        <v>800</v>
      </c>
      <c r="F14" s="386">
        <v>0</v>
      </c>
      <c r="G14" s="378">
        <f t="shared" ref="G14:G20" si="1">SUM(E14:F14)*D14</f>
        <v>1600</v>
      </c>
      <c r="H14" s="379" t="s">
        <v>748</v>
      </c>
      <c r="I14" s="383"/>
      <c r="J14" s="287"/>
      <c r="O14" s="278"/>
      <c r="P14" s="278"/>
    </row>
    <row r="15" spans="1:249" ht="15.75">
      <c r="A15" s="861" t="s">
        <v>609</v>
      </c>
      <c r="B15" s="861"/>
      <c r="C15" s="861"/>
      <c r="D15" s="861"/>
      <c r="E15" s="861"/>
      <c r="F15" s="861"/>
      <c r="G15" s="387">
        <f>SUM(G16:G21)</f>
        <v>7782.7722000000012</v>
      </c>
      <c r="H15" s="366"/>
      <c r="I15" s="388"/>
      <c r="J15" s="277"/>
      <c r="O15" s="278"/>
      <c r="P15" s="278"/>
    </row>
    <row r="16" spans="1:249">
      <c r="A16" s="389">
        <v>1</v>
      </c>
      <c r="B16" s="390" t="s">
        <v>857</v>
      </c>
      <c r="C16" s="370" t="s">
        <v>779</v>
      </c>
      <c r="D16" s="371">
        <v>3</v>
      </c>
      <c r="E16" s="372">
        <v>800</v>
      </c>
      <c r="F16" s="386">
        <v>0</v>
      </c>
      <c r="G16" s="373">
        <f t="shared" si="1"/>
        <v>2400</v>
      </c>
      <c r="H16" s="391"/>
      <c r="I16" s="383"/>
      <c r="O16" s="278"/>
      <c r="P16" s="278"/>
    </row>
    <row r="17" spans="1:17" ht="71.25">
      <c r="A17" s="389">
        <v>2</v>
      </c>
      <c r="B17" s="390" t="s">
        <v>858</v>
      </c>
      <c r="C17" s="370" t="s">
        <v>22</v>
      </c>
      <c r="D17" s="371"/>
      <c r="E17" s="372">
        <v>1100</v>
      </c>
      <c r="F17" s="386">
        <v>0</v>
      </c>
      <c r="G17" s="373">
        <f t="shared" si="1"/>
        <v>0</v>
      </c>
      <c r="H17" s="392"/>
      <c r="I17" s="383"/>
      <c r="J17" s="393" t="s">
        <v>859</v>
      </c>
      <c r="O17" s="278"/>
      <c r="P17" s="278"/>
    </row>
    <row r="18" spans="1:17" ht="63.75">
      <c r="A18" s="389">
        <v>3</v>
      </c>
      <c r="B18" s="390" t="s">
        <v>860</v>
      </c>
      <c r="C18" s="370" t="s">
        <v>22</v>
      </c>
      <c r="D18" s="371"/>
      <c r="E18" s="372">
        <v>3000</v>
      </c>
      <c r="F18" s="386">
        <v>0</v>
      </c>
      <c r="G18" s="373">
        <f t="shared" si="1"/>
        <v>0</v>
      </c>
      <c r="H18" s="392"/>
      <c r="I18" s="383"/>
      <c r="J18" s="394">
        <v>55.99</v>
      </c>
      <c r="O18" s="278"/>
      <c r="P18" s="278"/>
    </row>
    <row r="19" spans="1:17" ht="153">
      <c r="A19" s="389">
        <v>4</v>
      </c>
      <c r="B19" s="390" t="s">
        <v>861</v>
      </c>
      <c r="C19" s="370" t="s">
        <v>22</v>
      </c>
      <c r="D19" s="371">
        <v>267</v>
      </c>
      <c r="E19" s="380">
        <f>J18*0.34</f>
        <v>19.036600000000004</v>
      </c>
      <c r="F19" s="386">
        <v>0</v>
      </c>
      <c r="G19" s="373">
        <f t="shared" si="1"/>
        <v>5082.7722000000012</v>
      </c>
      <c r="H19" s="395"/>
      <c r="I19" s="383"/>
      <c r="O19" s="278"/>
      <c r="P19" s="278"/>
    </row>
    <row r="20" spans="1:17" ht="65.45" customHeight="1">
      <c r="A20" s="389">
        <v>5</v>
      </c>
      <c r="B20" s="390" t="s">
        <v>860</v>
      </c>
      <c r="C20" s="370" t="s">
        <v>22</v>
      </c>
      <c r="D20" s="371"/>
      <c r="E20" s="372">
        <v>3000</v>
      </c>
      <c r="F20" s="386">
        <v>0</v>
      </c>
      <c r="G20" s="373">
        <f t="shared" si="1"/>
        <v>0</v>
      </c>
      <c r="H20" s="392"/>
      <c r="I20" s="383"/>
      <c r="J20" s="394"/>
      <c r="O20" s="278"/>
      <c r="P20" s="278"/>
    </row>
    <row r="21" spans="1:17" ht="20.45" customHeight="1">
      <c r="A21" s="389">
        <v>6</v>
      </c>
      <c r="B21" s="584" t="s">
        <v>862</v>
      </c>
      <c r="C21" s="370" t="s">
        <v>854</v>
      </c>
      <c r="D21" s="371">
        <v>1</v>
      </c>
      <c r="E21" s="380">
        <v>300</v>
      </c>
      <c r="F21" s="386">
        <v>0</v>
      </c>
      <c r="G21" s="373">
        <f>D21*E21</f>
        <v>300</v>
      </c>
      <c r="H21" s="391"/>
      <c r="I21" s="383"/>
      <c r="O21" s="278"/>
      <c r="P21" s="278"/>
    </row>
    <row r="22" spans="1:17" ht="15.75">
      <c r="A22" s="862" t="s">
        <v>863</v>
      </c>
      <c r="B22" s="862"/>
      <c r="C22" s="862"/>
      <c r="D22" s="862"/>
      <c r="E22" s="862"/>
      <c r="F22" s="862"/>
      <c r="G22" s="396">
        <f>G15+G13+G4</f>
        <v>51830.312999999995</v>
      </c>
      <c r="O22" s="278"/>
      <c r="P22" s="278"/>
      <c r="Q22" s="397"/>
    </row>
    <row r="23" spans="1:17">
      <c r="H23" s="361"/>
    </row>
    <row r="24" spans="1:17">
      <c r="H24" s="361"/>
      <c r="Q24" s="397"/>
    </row>
    <row r="25" spans="1:17" ht="18.75">
      <c r="B25" s="398" t="s">
        <v>864</v>
      </c>
      <c r="H25" s="361"/>
    </row>
    <row r="26" spans="1:17" ht="15">
      <c r="A26" s="61">
        <v>1</v>
      </c>
      <c r="B26" s="335" t="s">
        <v>788</v>
      </c>
      <c r="C26" s="335"/>
      <c r="D26" s="399"/>
      <c r="E26" s="400">
        <v>0.5</v>
      </c>
      <c r="F26" s="335" t="s">
        <v>865</v>
      </c>
      <c r="G26" s="335"/>
    </row>
    <row r="27" spans="1:17" ht="15">
      <c r="A27" s="61">
        <v>2</v>
      </c>
      <c r="B27" s="863" t="s">
        <v>866</v>
      </c>
      <c r="C27" s="863"/>
      <c r="D27" s="863"/>
      <c r="E27" s="401">
        <v>10</v>
      </c>
      <c r="F27" s="335" t="s">
        <v>867</v>
      </c>
      <c r="G27" s="335"/>
    </row>
    <row r="28" spans="1:17" ht="15">
      <c r="A28" s="61">
        <v>3</v>
      </c>
      <c r="B28" s="335" t="s">
        <v>868</v>
      </c>
      <c r="C28" s="335"/>
      <c r="D28" s="399"/>
      <c r="E28" s="401">
        <v>15</v>
      </c>
      <c r="F28" s="335" t="s">
        <v>869</v>
      </c>
      <c r="G28" s="335"/>
      <c r="H28" s="61" t="s">
        <v>870</v>
      </c>
    </row>
    <row r="29" spans="1:17" ht="15">
      <c r="A29" s="61">
        <v>4</v>
      </c>
      <c r="B29" s="402" t="s">
        <v>871</v>
      </c>
      <c r="C29" s="402"/>
      <c r="D29" s="403"/>
      <c r="E29" s="404">
        <v>30</v>
      </c>
      <c r="F29" s="340" t="s">
        <v>872</v>
      </c>
      <c r="G29" s="340"/>
    </row>
    <row r="30" spans="1:17" ht="15">
      <c r="A30" s="61">
        <v>5</v>
      </c>
      <c r="B30" s="402" t="s">
        <v>791</v>
      </c>
      <c r="C30" s="402"/>
      <c r="D30" s="403"/>
      <c r="E30" s="404" t="s">
        <v>873</v>
      </c>
      <c r="F30" s="340" t="s">
        <v>874</v>
      </c>
      <c r="G30" s="340"/>
    </row>
    <row r="31" spans="1:17">
      <c r="A31" s="61">
        <v>6</v>
      </c>
      <c r="B31" s="402" t="s">
        <v>875</v>
      </c>
      <c r="C31" s="402"/>
      <c r="D31" s="402"/>
      <c r="E31" s="405" t="s">
        <v>876</v>
      </c>
      <c r="F31" s="349"/>
      <c r="G31" s="349"/>
    </row>
  </sheetData>
  <mergeCells count="5">
    <mergeCell ref="A4:F4"/>
    <mergeCell ref="A13:F13"/>
    <mergeCell ref="A15:F15"/>
    <mergeCell ref="A22:F22"/>
    <mergeCell ref="B27:D27"/>
  </mergeCells>
  <pageMargins left="0.7" right="0.7" top="0.75" bottom="0.75" header="0.3" footer="0.3"/>
  <customProperties>
    <customPr name="_pios_id" r:id="rId1"/>
  </customProperti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O66"/>
  <sheetViews>
    <sheetView topLeftCell="A57" workbookViewId="0">
      <selection activeCell="E8" sqref="E8:E12"/>
    </sheetView>
  </sheetViews>
  <sheetFormatPr defaultColWidth="9" defaultRowHeight="12.75"/>
  <cols>
    <col min="1" max="1" width="6.5703125" customWidth="1"/>
    <col min="2" max="2" width="52.140625" customWidth="1"/>
    <col min="3" max="3" width="8.5703125" customWidth="1"/>
    <col min="4" max="4" width="9.42578125" customWidth="1"/>
    <col min="5" max="6" width="10.5703125" customWidth="1"/>
    <col min="7" max="7" width="16.42578125" customWidth="1"/>
    <col min="8" max="8" width="16.140625" style="235" customWidth="1"/>
    <col min="9" max="9" width="13.140625" customWidth="1"/>
    <col min="12" max="12" width="19.42578125" customWidth="1"/>
    <col min="17" max="17" width="10.42578125" customWidth="1"/>
  </cols>
  <sheetData>
    <row r="1" spans="1:9" ht="18.600000000000001" customHeight="1">
      <c r="F1" s="864"/>
      <c r="G1" s="864"/>
      <c r="H1" s="864"/>
      <c r="I1" s="864"/>
    </row>
    <row r="2" spans="1:9" ht="21" customHeight="1">
      <c r="A2" s="865" t="s">
        <v>725</v>
      </c>
      <c r="B2" s="865"/>
      <c r="C2" s="865"/>
      <c r="D2" s="865"/>
      <c r="E2" s="865"/>
      <c r="F2" s="865"/>
      <c r="G2" s="865"/>
      <c r="H2" s="865"/>
      <c r="I2" s="865"/>
    </row>
    <row r="3" spans="1:9" ht="18.75" thickBot="1">
      <c r="A3" s="233"/>
      <c r="B3" s="234"/>
      <c r="C3" s="234"/>
      <c r="D3" s="234"/>
      <c r="E3" s="234"/>
      <c r="F3" s="234"/>
      <c r="G3" s="234"/>
    </row>
    <row r="4" spans="1:9" ht="13.5" thickBot="1">
      <c r="A4" s="236"/>
      <c r="F4" s="235" t="s">
        <v>726</v>
      </c>
      <c r="G4" s="235"/>
      <c r="H4" s="235" t="s">
        <v>727</v>
      </c>
      <c r="I4" s="237">
        <v>41.348100000000002</v>
      </c>
    </row>
    <row r="5" spans="1:9" ht="13.5" thickBot="1">
      <c r="F5" s="235" t="s">
        <v>726</v>
      </c>
      <c r="G5" s="235"/>
      <c r="H5" s="235" t="s">
        <v>728</v>
      </c>
      <c r="I5" s="238">
        <v>46.148600000000002</v>
      </c>
    </row>
    <row r="6" spans="1:9" ht="90" thickBot="1">
      <c r="A6" s="239" t="s">
        <v>3</v>
      </c>
      <c r="B6" s="240" t="s">
        <v>607</v>
      </c>
      <c r="C6" s="240" t="s">
        <v>608</v>
      </c>
      <c r="D6" s="240" t="s">
        <v>7</v>
      </c>
      <c r="E6" s="240" t="s">
        <v>729</v>
      </c>
      <c r="F6" s="240" t="s">
        <v>730</v>
      </c>
      <c r="G6" s="240" t="s">
        <v>612</v>
      </c>
      <c r="H6" s="241" t="s">
        <v>731</v>
      </c>
      <c r="I6" s="242" t="s">
        <v>732</v>
      </c>
    </row>
    <row r="7" spans="1:9">
      <c r="A7" s="243">
        <v>1</v>
      </c>
      <c r="B7" s="244" t="s">
        <v>733</v>
      </c>
      <c r="C7" s="245"/>
      <c r="D7" s="246"/>
      <c r="E7" s="247"/>
      <c r="F7" s="247"/>
      <c r="G7" s="248"/>
      <c r="H7" s="249"/>
      <c r="I7" s="250"/>
    </row>
    <row r="8" spans="1:9">
      <c r="A8" s="251">
        <v>1</v>
      </c>
      <c r="B8" s="252" t="s">
        <v>734</v>
      </c>
      <c r="C8" s="253" t="s">
        <v>33</v>
      </c>
      <c r="D8" s="254">
        <v>6.27</v>
      </c>
      <c r="E8" s="255">
        <v>610</v>
      </c>
      <c r="F8" s="583">
        <v>200</v>
      </c>
      <c r="G8" s="255">
        <f>(E8+F8)*D8</f>
        <v>5078.7</v>
      </c>
      <c r="H8" s="256"/>
      <c r="I8" s="257"/>
    </row>
    <row r="9" spans="1:9" ht="17.25" customHeight="1">
      <c r="A9" s="258">
        <v>2</v>
      </c>
      <c r="B9" s="252" t="s">
        <v>735</v>
      </c>
      <c r="C9" s="253" t="s">
        <v>63</v>
      </c>
      <c r="D9" s="254">
        <v>6</v>
      </c>
      <c r="E9" s="255">
        <f>I9*I5</f>
        <v>2159.2929939999999</v>
      </c>
      <c r="F9" s="255">
        <v>350</v>
      </c>
      <c r="G9" s="255">
        <f>(E9+F9)*D9</f>
        <v>15055.757964</v>
      </c>
      <c r="H9" s="259"/>
      <c r="I9" s="250">
        <v>46.79</v>
      </c>
    </row>
    <row r="10" spans="1:9">
      <c r="A10" s="251">
        <v>3</v>
      </c>
      <c r="B10" s="252" t="s">
        <v>736</v>
      </c>
      <c r="C10" s="253" t="s">
        <v>63</v>
      </c>
      <c r="D10" s="254">
        <v>6</v>
      </c>
      <c r="E10" s="255">
        <v>160</v>
      </c>
      <c r="F10" s="255">
        <v>160</v>
      </c>
      <c r="G10" s="255">
        <f>(E10+F10)*D10</f>
        <v>1920</v>
      </c>
      <c r="H10" s="256"/>
      <c r="I10" s="257"/>
    </row>
    <row r="11" spans="1:9">
      <c r="A11" s="258">
        <v>4</v>
      </c>
      <c r="B11" s="260" t="s">
        <v>737</v>
      </c>
      <c r="C11" s="253" t="s">
        <v>63</v>
      </c>
      <c r="D11" s="254">
        <v>6</v>
      </c>
      <c r="E11" s="255">
        <v>279</v>
      </c>
      <c r="F11" s="255">
        <v>250</v>
      </c>
      <c r="G11" s="255">
        <f>(E11+F11)*D11</f>
        <v>3174</v>
      </c>
      <c r="H11" s="256"/>
      <c r="I11" s="257"/>
    </row>
    <row r="12" spans="1:9" ht="42" customHeight="1">
      <c r="A12" s="258">
        <v>5</v>
      </c>
      <c r="B12" s="261" t="s">
        <v>738</v>
      </c>
      <c r="C12" s="253" t="s">
        <v>250</v>
      </c>
      <c r="D12" s="254">
        <v>6</v>
      </c>
      <c r="E12" s="255">
        <v>350</v>
      </c>
      <c r="F12" s="255"/>
      <c r="G12" s="255">
        <f t="shared" ref="G12:G20" si="0">(E12+F12)*D12</f>
        <v>2100</v>
      </c>
      <c r="H12" s="256"/>
      <c r="I12" s="257"/>
    </row>
    <row r="13" spans="1:9">
      <c r="A13" s="243">
        <v>2</v>
      </c>
      <c r="B13" s="244" t="s">
        <v>613</v>
      </c>
      <c r="C13" s="245"/>
      <c r="D13" s="246"/>
      <c r="E13" s="262"/>
      <c r="F13" s="262"/>
      <c r="G13" s="248"/>
      <c r="H13" s="249"/>
      <c r="I13" s="250"/>
    </row>
    <row r="14" spans="1:9">
      <c r="A14" s="263">
        <v>1</v>
      </c>
      <c r="B14" s="252" t="s">
        <v>739</v>
      </c>
      <c r="C14" s="264" t="s">
        <v>29</v>
      </c>
      <c r="D14" s="265">
        <v>1</v>
      </c>
      <c r="E14" s="583">
        <f>I14*$I$5</f>
        <v>48456.03</v>
      </c>
      <c r="F14" s="255">
        <v>1500</v>
      </c>
      <c r="G14" s="255">
        <f t="shared" si="0"/>
        <v>49956.03</v>
      </c>
      <c r="H14" s="256"/>
      <c r="I14" s="250">
        <v>1050</v>
      </c>
    </row>
    <row r="15" spans="1:9" ht="23.1" customHeight="1">
      <c r="A15" s="263">
        <v>2</v>
      </c>
      <c r="B15" s="266" t="s">
        <v>740</v>
      </c>
      <c r="C15" s="264" t="s">
        <v>741</v>
      </c>
      <c r="D15" s="265">
        <v>1</v>
      </c>
      <c r="E15" s="255">
        <v>800</v>
      </c>
      <c r="F15" s="255"/>
      <c r="G15" s="255">
        <f t="shared" si="0"/>
        <v>800</v>
      </c>
      <c r="H15" s="256"/>
      <c r="I15" s="257"/>
    </row>
    <row r="16" spans="1:9">
      <c r="A16" s="243">
        <v>3</v>
      </c>
      <c r="B16" s="244" t="s">
        <v>742</v>
      </c>
      <c r="C16" s="245"/>
      <c r="D16" s="246"/>
      <c r="E16" s="247"/>
      <c r="F16" s="247"/>
      <c r="G16" s="248"/>
      <c r="H16" s="249"/>
      <c r="I16" s="250"/>
    </row>
    <row r="17" spans="1:249">
      <c r="A17" s="251">
        <v>1</v>
      </c>
      <c r="B17" s="252" t="s">
        <v>743</v>
      </c>
      <c r="C17" s="253" t="s">
        <v>29</v>
      </c>
      <c r="D17" s="254">
        <v>1</v>
      </c>
      <c r="E17" s="255">
        <v>273.95999999999998</v>
      </c>
      <c r="F17" s="255">
        <v>250</v>
      </c>
      <c r="G17" s="255">
        <f t="shared" si="0"/>
        <v>523.96</v>
      </c>
      <c r="H17" s="256"/>
      <c r="I17" s="257"/>
    </row>
    <row r="18" spans="1:249">
      <c r="A18" s="258">
        <v>2</v>
      </c>
      <c r="B18" s="267" t="s">
        <v>744</v>
      </c>
      <c r="C18" s="253" t="s">
        <v>29</v>
      </c>
      <c r="D18" s="254">
        <v>1</v>
      </c>
      <c r="E18" s="255">
        <v>262.05</v>
      </c>
      <c r="F18" s="255">
        <v>250</v>
      </c>
      <c r="G18" s="255">
        <f t="shared" si="0"/>
        <v>512.04999999999995</v>
      </c>
      <c r="H18" s="256"/>
      <c r="I18" s="257"/>
    </row>
    <row r="19" spans="1:249">
      <c r="A19" s="251">
        <v>3</v>
      </c>
      <c r="B19" s="252" t="s">
        <v>734</v>
      </c>
      <c r="C19" s="253" t="s">
        <v>33</v>
      </c>
      <c r="D19" s="254">
        <v>0.15</v>
      </c>
      <c r="E19" s="255">
        <v>610</v>
      </c>
      <c r="F19" s="583">
        <v>200</v>
      </c>
      <c r="G19" s="255">
        <f t="shared" si="0"/>
        <v>121.5</v>
      </c>
      <c r="H19" s="256"/>
      <c r="I19" s="257"/>
    </row>
    <row r="20" spans="1:249" ht="38.25">
      <c r="A20" s="258">
        <v>4</v>
      </c>
      <c r="B20" s="261" t="s">
        <v>745</v>
      </c>
      <c r="C20" s="253" t="s">
        <v>741</v>
      </c>
      <c r="D20" s="254">
        <v>1</v>
      </c>
      <c r="E20" s="255">
        <v>150</v>
      </c>
      <c r="F20" s="255"/>
      <c r="G20" s="255">
        <f t="shared" si="0"/>
        <v>150</v>
      </c>
      <c r="H20" s="256"/>
      <c r="I20" s="257"/>
    </row>
    <row r="21" spans="1:249">
      <c r="A21" s="243">
        <v>4</v>
      </c>
      <c r="B21" s="585" t="s">
        <v>746</v>
      </c>
      <c r="C21" s="245"/>
      <c r="D21" s="246"/>
      <c r="E21" s="262"/>
      <c r="F21" s="262"/>
      <c r="G21" s="248"/>
      <c r="H21" s="249"/>
      <c r="I21" s="250"/>
    </row>
    <row r="22" spans="1:249" s="279" customFormat="1" ht="56.1" customHeight="1">
      <c r="A22" s="268">
        <v>1</v>
      </c>
      <c r="B22" s="269" t="s">
        <v>747</v>
      </c>
      <c r="C22" s="270" t="s">
        <v>33</v>
      </c>
      <c r="D22" s="271">
        <v>18</v>
      </c>
      <c r="E22" s="272">
        <f>I22*I5</f>
        <v>230.74299999999999</v>
      </c>
      <c r="F22" s="272">
        <v>80</v>
      </c>
      <c r="G22" s="273">
        <f t="shared" ref="G22:G33" si="1">(F22+E22)*D22</f>
        <v>5593.3739999999998</v>
      </c>
      <c r="H22" s="274" t="s">
        <v>748</v>
      </c>
      <c r="I22" s="275">
        <v>5</v>
      </c>
      <c r="J22" s="276"/>
      <c r="K22" s="277"/>
      <c r="L22" s="61"/>
      <c r="M22" s="278"/>
      <c r="N22" s="61"/>
      <c r="O22" s="278"/>
      <c r="P22" s="278"/>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row>
    <row r="23" spans="1:249" s="279" customFormat="1" ht="28.5" customHeight="1">
      <c r="A23" s="263">
        <v>2</v>
      </c>
      <c r="B23" s="269" t="s">
        <v>749</v>
      </c>
      <c r="C23" s="270" t="s">
        <v>63</v>
      </c>
      <c r="D23" s="271">
        <v>5</v>
      </c>
      <c r="E23" s="272">
        <v>343.65</v>
      </c>
      <c r="F23" s="272">
        <v>230</v>
      </c>
      <c r="G23" s="273">
        <f t="shared" si="1"/>
        <v>2868.25</v>
      </c>
      <c r="H23" s="280"/>
      <c r="I23" s="281"/>
      <c r="J23" s="276"/>
      <c r="K23" s="61"/>
      <c r="L23" s="61"/>
      <c r="M23" s="278"/>
      <c r="N23" s="61"/>
      <c r="O23" s="278"/>
      <c r="P23" s="278"/>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61"/>
      <c r="FE23" s="61"/>
      <c r="FF23" s="61"/>
      <c r="FG23" s="61"/>
      <c r="FH23" s="61"/>
      <c r="FI23" s="61"/>
      <c r="FJ23" s="61"/>
      <c r="FK23" s="61"/>
      <c r="FL23" s="61"/>
      <c r="FM23" s="61"/>
      <c r="FN23" s="61"/>
      <c r="FO23" s="61"/>
      <c r="FP23" s="61"/>
      <c r="FQ23" s="61"/>
      <c r="FR23" s="61"/>
      <c r="FS23" s="61"/>
      <c r="FT23" s="61"/>
      <c r="FU23" s="61"/>
      <c r="FV23" s="61"/>
      <c r="FW23" s="61"/>
      <c r="FX23" s="61"/>
      <c r="FY23" s="61"/>
      <c r="FZ23" s="61"/>
      <c r="GA23" s="61"/>
      <c r="GB23" s="61"/>
      <c r="GC23" s="61"/>
      <c r="GD23" s="61"/>
      <c r="GE23" s="61"/>
      <c r="GF23" s="61"/>
      <c r="GG23" s="61"/>
      <c r="GH23" s="61"/>
      <c r="GI23" s="61"/>
      <c r="GJ23" s="61"/>
      <c r="GK23" s="61"/>
      <c r="GL23" s="61"/>
      <c r="GM23" s="61"/>
      <c r="GN23" s="61"/>
      <c r="GO23" s="61"/>
      <c r="GP23" s="61"/>
      <c r="GQ23" s="61"/>
      <c r="GR23" s="61"/>
      <c r="GS23" s="61"/>
      <c r="GT23" s="61"/>
      <c r="GU23" s="61"/>
      <c r="GV23" s="61"/>
      <c r="GW23" s="61"/>
      <c r="GX23" s="61"/>
      <c r="GY23" s="61"/>
      <c r="GZ23" s="61"/>
      <c r="HA23" s="61"/>
      <c r="HB23" s="61"/>
      <c r="HC23" s="61"/>
      <c r="HD23" s="61"/>
      <c r="HE23" s="61"/>
      <c r="HF23" s="61"/>
      <c r="HG23" s="61"/>
      <c r="HH23" s="61"/>
      <c r="HI23" s="61"/>
      <c r="HJ23" s="61"/>
      <c r="HK23" s="61"/>
      <c r="HL23" s="61"/>
      <c r="HM23" s="61"/>
      <c r="HN23" s="61"/>
      <c r="HO23" s="61"/>
      <c r="HP23" s="61"/>
      <c r="HQ23" s="61"/>
      <c r="HR23" s="61"/>
      <c r="HS23" s="61"/>
      <c r="HT23" s="61"/>
      <c r="HU23" s="61"/>
      <c r="HV23" s="61"/>
      <c r="HW23" s="61"/>
      <c r="HX23" s="61"/>
      <c r="HY23" s="61"/>
      <c r="HZ23" s="61"/>
      <c r="IA23" s="61"/>
      <c r="IB23" s="61"/>
      <c r="IC23" s="61"/>
      <c r="ID23" s="61"/>
      <c r="IE23" s="61"/>
      <c r="IF23" s="61"/>
      <c r="IG23" s="61"/>
      <c r="IH23" s="61"/>
      <c r="II23" s="61"/>
      <c r="IJ23" s="61"/>
      <c r="IK23" s="61"/>
      <c r="IL23" s="61"/>
      <c r="IM23" s="61"/>
      <c r="IN23" s="61"/>
      <c r="IO23" s="61"/>
    </row>
    <row r="24" spans="1:249" ht="24.95" customHeight="1">
      <c r="A24" s="268">
        <v>3</v>
      </c>
      <c r="B24" s="252" t="s">
        <v>734</v>
      </c>
      <c r="C24" s="253" t="s">
        <v>33</v>
      </c>
      <c r="D24" s="254">
        <v>18</v>
      </c>
      <c r="E24" s="282">
        <v>610</v>
      </c>
      <c r="F24" s="283">
        <v>200</v>
      </c>
      <c r="G24" s="282">
        <f>(E24+F24)*D24</f>
        <v>14580</v>
      </c>
      <c r="H24" s="256"/>
      <c r="I24" s="257"/>
    </row>
    <row r="25" spans="1:249" s="279" customFormat="1" ht="29.1" customHeight="1">
      <c r="A25" s="263">
        <v>4</v>
      </c>
      <c r="B25" s="269" t="s">
        <v>750</v>
      </c>
      <c r="C25" s="270" t="s">
        <v>63</v>
      </c>
      <c r="D25" s="271">
        <v>1</v>
      </c>
      <c r="E25" s="272">
        <f>I25*I5</f>
        <v>6506.9526000000005</v>
      </c>
      <c r="F25" s="272">
        <v>600</v>
      </c>
      <c r="G25" s="284">
        <f t="shared" si="1"/>
        <v>7106.9526000000005</v>
      </c>
      <c r="H25" s="285" t="s">
        <v>751</v>
      </c>
      <c r="I25" s="286">
        <v>141</v>
      </c>
      <c r="J25" s="287"/>
      <c r="K25" s="277"/>
      <c r="L25" s="61"/>
      <c r="M25" s="278"/>
      <c r="N25" s="61"/>
      <c r="O25" s="278"/>
      <c r="P25" s="278"/>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c r="GT25" s="61"/>
      <c r="GU25" s="61"/>
      <c r="GV25" s="61"/>
      <c r="GW25" s="61"/>
      <c r="GX25" s="61"/>
      <c r="GY25" s="61"/>
      <c r="GZ25" s="61"/>
      <c r="HA25" s="61"/>
      <c r="HB25" s="61"/>
      <c r="HC25" s="61"/>
      <c r="HD25" s="61"/>
      <c r="HE25" s="61"/>
      <c r="HF25" s="61"/>
      <c r="HG25" s="61"/>
      <c r="HH25" s="61"/>
      <c r="HI25" s="61"/>
      <c r="HJ25" s="61"/>
      <c r="HK25" s="61"/>
      <c r="HL25" s="61"/>
      <c r="HM25" s="61"/>
      <c r="HN25" s="61"/>
      <c r="HO25" s="61"/>
      <c r="HP25" s="61"/>
      <c r="HQ25" s="61"/>
      <c r="HR25" s="61"/>
      <c r="HS25" s="61"/>
      <c r="HT25" s="61"/>
      <c r="HU25" s="61"/>
      <c r="HV25" s="61"/>
      <c r="HW25" s="61"/>
      <c r="HX25" s="61"/>
      <c r="HY25" s="61"/>
      <c r="HZ25" s="61"/>
      <c r="IA25" s="61"/>
      <c r="IB25" s="61"/>
      <c r="IC25" s="61"/>
      <c r="ID25" s="61"/>
      <c r="IE25" s="61"/>
      <c r="IF25" s="61"/>
      <c r="IG25" s="61"/>
      <c r="IH25" s="61"/>
      <c r="II25" s="61"/>
      <c r="IJ25" s="61"/>
      <c r="IK25" s="61"/>
      <c r="IL25" s="61"/>
      <c r="IM25" s="61"/>
      <c r="IN25" s="61"/>
      <c r="IO25" s="61"/>
    </row>
    <row r="26" spans="1:249" s="279" customFormat="1" ht="25.5">
      <c r="A26" s="268">
        <v>5</v>
      </c>
      <c r="B26" s="269" t="s">
        <v>752</v>
      </c>
      <c r="C26" s="270" t="s">
        <v>63</v>
      </c>
      <c r="D26" s="271">
        <v>2</v>
      </c>
      <c r="E26" s="272">
        <v>120</v>
      </c>
      <c r="F26" s="272">
        <v>130</v>
      </c>
      <c r="G26" s="284">
        <f t="shared" si="1"/>
        <v>500</v>
      </c>
      <c r="H26" s="280"/>
      <c r="I26" s="288"/>
      <c r="J26" s="276"/>
      <c r="K26" s="277"/>
      <c r="L26" s="61"/>
      <c r="M26" s="278"/>
      <c r="N26" s="61"/>
      <c r="O26" s="278"/>
      <c r="P26" s="278"/>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61"/>
      <c r="FE26" s="61"/>
      <c r="FF26" s="61"/>
      <c r="FG26" s="61"/>
      <c r="FH26" s="61"/>
      <c r="FI26" s="61"/>
      <c r="FJ26" s="61"/>
      <c r="FK26" s="61"/>
      <c r="FL26" s="61"/>
      <c r="FM26" s="61"/>
      <c r="FN26" s="61"/>
      <c r="FO26" s="61"/>
      <c r="FP26" s="61"/>
      <c r="FQ26" s="61"/>
      <c r="FR26" s="61"/>
      <c r="FS26" s="61"/>
      <c r="FT26" s="61"/>
      <c r="FU26" s="61"/>
      <c r="FV26" s="61"/>
      <c r="FW26" s="61"/>
      <c r="FX26" s="61"/>
      <c r="FY26" s="61"/>
      <c r="FZ26" s="61"/>
      <c r="GA26" s="61"/>
      <c r="GB26" s="61"/>
      <c r="GC26" s="61"/>
      <c r="GD26" s="61"/>
      <c r="GE26" s="61"/>
      <c r="GF26" s="61"/>
      <c r="GG26" s="61"/>
      <c r="GH26" s="61"/>
      <c r="GI26" s="61"/>
      <c r="GJ26" s="61"/>
      <c r="GK26" s="61"/>
      <c r="GL26" s="61"/>
      <c r="GM26" s="61"/>
      <c r="GN26" s="61"/>
      <c r="GO26" s="61"/>
      <c r="GP26" s="61"/>
      <c r="GQ26" s="61"/>
      <c r="GR26" s="61"/>
      <c r="GS26" s="61"/>
      <c r="GT26" s="61"/>
      <c r="GU26" s="61"/>
      <c r="GV26" s="61"/>
      <c r="GW26" s="61"/>
      <c r="GX26" s="61"/>
      <c r="GY26" s="61"/>
      <c r="GZ26" s="61"/>
      <c r="HA26" s="61"/>
      <c r="HB26" s="61"/>
      <c r="HC26" s="61"/>
      <c r="HD26" s="61"/>
      <c r="HE26" s="61"/>
      <c r="HF26" s="61"/>
      <c r="HG26" s="61"/>
      <c r="HH26" s="61"/>
      <c r="HI26" s="61"/>
      <c r="HJ26" s="61"/>
      <c r="HK26" s="61"/>
      <c r="HL26" s="61"/>
      <c r="HM26" s="61"/>
      <c r="HN26" s="61"/>
      <c r="HO26" s="61"/>
      <c r="HP26" s="61"/>
      <c r="HQ26" s="61"/>
      <c r="HR26" s="61"/>
      <c r="HS26" s="61"/>
      <c r="HT26" s="61"/>
      <c r="HU26" s="61"/>
      <c r="HV26" s="61"/>
      <c r="HW26" s="61"/>
      <c r="HX26" s="61"/>
      <c r="HY26" s="61"/>
      <c r="HZ26" s="61"/>
      <c r="IA26" s="61"/>
      <c r="IB26" s="61"/>
      <c r="IC26" s="61"/>
      <c r="ID26" s="61"/>
      <c r="IE26" s="61"/>
      <c r="IF26" s="61"/>
      <c r="IG26" s="61"/>
      <c r="IH26" s="61"/>
      <c r="II26" s="61"/>
      <c r="IJ26" s="61"/>
      <c r="IK26" s="61"/>
      <c r="IL26" s="61"/>
      <c r="IM26" s="61"/>
      <c r="IN26" s="61"/>
      <c r="IO26" s="61"/>
    </row>
    <row r="27" spans="1:249" s="279" customFormat="1" ht="27.75" customHeight="1">
      <c r="A27" s="263">
        <v>6</v>
      </c>
      <c r="B27" s="289" t="s">
        <v>753</v>
      </c>
      <c r="C27" s="270" t="s">
        <v>63</v>
      </c>
      <c r="D27" s="271">
        <v>1</v>
      </c>
      <c r="E27" s="272">
        <v>2085</v>
      </c>
      <c r="F27" s="272">
        <v>500</v>
      </c>
      <c r="G27" s="290">
        <f t="shared" si="1"/>
        <v>2585</v>
      </c>
      <c r="H27" s="280"/>
      <c r="I27" s="281"/>
      <c r="J27" s="287"/>
      <c r="K27" s="61"/>
      <c r="L27" s="61"/>
      <c r="M27" s="278"/>
      <c r="N27" s="61"/>
      <c r="O27" s="278"/>
      <c r="P27" s="278"/>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61"/>
      <c r="IF27" s="61"/>
      <c r="IG27" s="61"/>
      <c r="IH27" s="61"/>
      <c r="II27" s="61"/>
      <c r="IJ27" s="61"/>
      <c r="IK27" s="61"/>
      <c r="IL27" s="61"/>
      <c r="IM27" s="61"/>
      <c r="IN27" s="61"/>
      <c r="IO27" s="61"/>
    </row>
    <row r="28" spans="1:249" s="279" customFormat="1">
      <c r="A28" s="268">
        <v>7</v>
      </c>
      <c r="B28" s="269" t="s">
        <v>754</v>
      </c>
      <c r="C28" s="270" t="s">
        <v>63</v>
      </c>
      <c r="D28" s="271">
        <v>1</v>
      </c>
      <c r="E28" s="272">
        <v>556.85</v>
      </c>
      <c r="F28" s="272">
        <v>300</v>
      </c>
      <c r="G28" s="284">
        <f t="shared" si="1"/>
        <v>856.85</v>
      </c>
      <c r="H28" s="280"/>
      <c r="I28" s="288"/>
      <c r="J28" s="276"/>
      <c r="K28" s="277"/>
      <c r="L28" s="61"/>
      <c r="M28" s="278"/>
      <c r="N28" s="61"/>
      <c r="O28" s="278"/>
      <c r="P28" s="278"/>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61"/>
      <c r="FE28" s="61"/>
      <c r="FF28" s="61"/>
      <c r="FG28" s="61"/>
      <c r="FH28" s="61"/>
      <c r="FI28" s="61"/>
      <c r="FJ28" s="61"/>
      <c r="FK28" s="61"/>
      <c r="FL28" s="61"/>
      <c r="FM28" s="61"/>
      <c r="FN28" s="61"/>
      <c r="FO28" s="61"/>
      <c r="FP28" s="61"/>
      <c r="FQ28" s="61"/>
      <c r="FR28" s="61"/>
      <c r="FS28" s="61"/>
      <c r="FT28" s="61"/>
      <c r="FU28" s="61"/>
      <c r="FV28" s="61"/>
      <c r="FW28" s="61"/>
      <c r="FX28" s="61"/>
      <c r="FY28" s="61"/>
      <c r="FZ28" s="61"/>
      <c r="GA28" s="61"/>
      <c r="GB28" s="61"/>
      <c r="GC28" s="61"/>
      <c r="GD28" s="61"/>
      <c r="GE28" s="61"/>
      <c r="GF28" s="61"/>
      <c r="GG28" s="61"/>
      <c r="GH28" s="61"/>
      <c r="GI28" s="61"/>
      <c r="GJ28" s="61"/>
      <c r="GK28" s="61"/>
      <c r="GL28" s="61"/>
      <c r="GM28" s="61"/>
      <c r="GN28" s="61"/>
      <c r="GO28" s="61"/>
      <c r="GP28" s="61"/>
      <c r="GQ28" s="61"/>
      <c r="GR28" s="61"/>
      <c r="GS28" s="61"/>
      <c r="GT28" s="61"/>
      <c r="GU28" s="61"/>
      <c r="GV28" s="61"/>
      <c r="GW28" s="61"/>
      <c r="GX28" s="61"/>
      <c r="GY28" s="61"/>
      <c r="GZ28" s="61"/>
      <c r="HA28" s="61"/>
      <c r="HB28" s="61"/>
      <c r="HC28" s="61"/>
      <c r="HD28" s="61"/>
      <c r="HE28" s="61"/>
      <c r="HF28" s="61"/>
      <c r="HG28" s="61"/>
      <c r="HH28" s="61"/>
      <c r="HI28" s="61"/>
      <c r="HJ28" s="61"/>
      <c r="HK28" s="61"/>
      <c r="HL28" s="61"/>
      <c r="HM28" s="61"/>
      <c r="HN28" s="61"/>
      <c r="HO28" s="61"/>
      <c r="HP28" s="61"/>
      <c r="HQ28" s="61"/>
      <c r="HR28" s="61"/>
      <c r="HS28" s="61"/>
      <c r="HT28" s="61"/>
      <c r="HU28" s="61"/>
      <c r="HV28" s="61"/>
      <c r="HW28" s="61"/>
      <c r="HX28" s="61"/>
      <c r="HY28" s="61"/>
      <c r="HZ28" s="61"/>
      <c r="IA28" s="61"/>
      <c r="IB28" s="61"/>
      <c r="IC28" s="61"/>
      <c r="ID28" s="61"/>
      <c r="IE28" s="61"/>
      <c r="IF28" s="61"/>
      <c r="IG28" s="61"/>
      <c r="IH28" s="61"/>
      <c r="II28" s="61"/>
      <c r="IJ28" s="61"/>
      <c r="IK28" s="61"/>
      <c r="IL28" s="61"/>
      <c r="IM28" s="61"/>
      <c r="IN28" s="61"/>
      <c r="IO28" s="61"/>
    </row>
    <row r="29" spans="1:249" s="279" customFormat="1">
      <c r="A29" s="263">
        <v>8</v>
      </c>
      <c r="B29" s="291" t="s">
        <v>755</v>
      </c>
      <c r="C29" s="270" t="s">
        <v>63</v>
      </c>
      <c r="D29" s="271">
        <v>1</v>
      </c>
      <c r="E29" s="272">
        <v>780</v>
      </c>
      <c r="F29" s="272">
        <v>220</v>
      </c>
      <c r="G29" s="273">
        <f t="shared" si="1"/>
        <v>1000</v>
      </c>
      <c r="H29" s="292"/>
      <c r="I29" s="293"/>
      <c r="J29" s="287"/>
      <c r="K29" s="61"/>
      <c r="L29" s="61"/>
      <c r="M29" s="278"/>
      <c r="N29" s="61"/>
      <c r="O29" s="278"/>
      <c r="P29" s="278"/>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61"/>
      <c r="FE29" s="61"/>
      <c r="FF29" s="61"/>
      <c r="FG29" s="61"/>
      <c r="FH29" s="61"/>
      <c r="FI29" s="61"/>
      <c r="FJ29" s="61"/>
      <c r="FK29" s="61"/>
      <c r="FL29" s="61"/>
      <c r="FM29" s="61"/>
      <c r="FN29" s="61"/>
      <c r="FO29" s="61"/>
      <c r="FP29" s="61"/>
      <c r="FQ29" s="61"/>
      <c r="FR29" s="61"/>
      <c r="FS29" s="61"/>
      <c r="FT29" s="61"/>
      <c r="FU29" s="61"/>
      <c r="FV29" s="61"/>
      <c r="FW29" s="61"/>
      <c r="FX29" s="61"/>
      <c r="FY29" s="61"/>
      <c r="FZ29" s="61"/>
      <c r="GA29" s="61"/>
      <c r="GB29" s="61"/>
      <c r="GC29" s="61"/>
      <c r="GD29" s="61"/>
      <c r="GE29" s="61"/>
      <c r="GF29" s="61"/>
      <c r="GG29" s="61"/>
      <c r="GH29" s="61"/>
      <c r="GI29" s="61"/>
      <c r="GJ29" s="61"/>
      <c r="GK29" s="61"/>
      <c r="GL29" s="61"/>
      <c r="GM29" s="61"/>
      <c r="GN29" s="61"/>
      <c r="GO29" s="61"/>
      <c r="GP29" s="61"/>
      <c r="GQ29" s="61"/>
      <c r="GR29" s="61"/>
      <c r="GS29" s="61"/>
      <c r="GT29" s="61"/>
      <c r="GU29" s="61"/>
      <c r="GV29" s="61"/>
      <c r="GW29" s="61"/>
      <c r="GX29" s="61"/>
      <c r="GY29" s="61"/>
      <c r="GZ29" s="61"/>
      <c r="HA29" s="61"/>
      <c r="HB29" s="61"/>
      <c r="HC29" s="61"/>
      <c r="HD29" s="61"/>
      <c r="HE29" s="61"/>
      <c r="HF29" s="61"/>
      <c r="HG29" s="61"/>
      <c r="HH29" s="61"/>
      <c r="HI29" s="61"/>
      <c r="HJ29" s="61"/>
      <c r="HK29" s="61"/>
      <c r="HL29" s="61"/>
      <c r="HM29" s="61"/>
      <c r="HN29" s="61"/>
      <c r="HO29" s="61"/>
      <c r="HP29" s="61"/>
      <c r="HQ29" s="61"/>
      <c r="HR29" s="61"/>
      <c r="HS29" s="61"/>
      <c r="HT29" s="61"/>
      <c r="HU29" s="61"/>
      <c r="HV29" s="61"/>
      <c r="HW29" s="61"/>
      <c r="HX29" s="61"/>
      <c r="HY29" s="61"/>
      <c r="HZ29" s="61"/>
      <c r="IA29" s="61"/>
      <c r="IB29" s="61"/>
      <c r="IC29" s="61"/>
      <c r="ID29" s="61"/>
      <c r="IE29" s="61"/>
      <c r="IF29" s="61"/>
      <c r="IG29" s="61"/>
      <c r="IH29" s="61"/>
      <c r="II29" s="61"/>
      <c r="IJ29" s="61"/>
      <c r="IK29" s="61"/>
      <c r="IL29" s="61"/>
      <c r="IM29" s="61"/>
      <c r="IN29" s="61"/>
      <c r="IO29" s="61"/>
    </row>
    <row r="30" spans="1:249" ht="13.35" customHeight="1">
      <c r="A30" s="268">
        <v>9</v>
      </c>
      <c r="B30" s="252" t="s">
        <v>756</v>
      </c>
      <c r="C30" s="253" t="s">
        <v>250</v>
      </c>
      <c r="D30" s="254">
        <v>1</v>
      </c>
      <c r="E30" s="282">
        <v>1500</v>
      </c>
      <c r="F30" s="282"/>
      <c r="G30" s="282">
        <f t="shared" si="1"/>
        <v>1500</v>
      </c>
      <c r="H30" s="294"/>
      <c r="I30" s="295"/>
    </row>
    <row r="31" spans="1:249" ht="14.45" customHeight="1">
      <c r="A31" s="263">
        <v>10</v>
      </c>
      <c r="B31" s="252" t="s">
        <v>757</v>
      </c>
      <c r="C31" s="253" t="s">
        <v>29</v>
      </c>
      <c r="D31" s="254">
        <v>1</v>
      </c>
      <c r="E31" s="282">
        <v>2496</v>
      </c>
      <c r="F31" s="282">
        <v>500</v>
      </c>
      <c r="G31" s="282">
        <f t="shared" si="1"/>
        <v>2996</v>
      </c>
      <c r="H31" s="294"/>
      <c r="I31" s="295"/>
    </row>
    <row r="32" spans="1:249" ht="15.6" customHeight="1">
      <c r="A32" s="268">
        <v>11</v>
      </c>
      <c r="B32" s="252" t="s">
        <v>758</v>
      </c>
      <c r="C32" s="253" t="s">
        <v>29</v>
      </c>
      <c r="D32" s="254">
        <v>1</v>
      </c>
      <c r="E32" s="283">
        <v>3500</v>
      </c>
      <c r="F32" s="282">
        <v>700</v>
      </c>
      <c r="G32" s="282">
        <f t="shared" si="1"/>
        <v>4200</v>
      </c>
      <c r="H32" s="294"/>
      <c r="I32" s="295"/>
    </row>
    <row r="33" spans="1:9" ht="41.1" customHeight="1">
      <c r="A33" s="263">
        <v>12</v>
      </c>
      <c r="B33" s="296" t="s">
        <v>759</v>
      </c>
      <c r="C33" s="253" t="s">
        <v>448</v>
      </c>
      <c r="D33" s="254">
        <v>1</v>
      </c>
      <c r="E33" s="255">
        <f>I33*I4</f>
        <v>28943.670000000002</v>
      </c>
      <c r="F33" s="255">
        <v>1500</v>
      </c>
      <c r="G33" s="255">
        <f t="shared" si="1"/>
        <v>30443.670000000002</v>
      </c>
      <c r="H33" s="294"/>
      <c r="I33" s="297">
        <v>700</v>
      </c>
    </row>
    <row r="34" spans="1:9">
      <c r="A34" s="243">
        <v>5</v>
      </c>
      <c r="B34" s="244" t="s">
        <v>614</v>
      </c>
      <c r="C34" s="245"/>
      <c r="D34" s="246"/>
      <c r="E34" s="262"/>
      <c r="F34" s="262"/>
      <c r="G34" s="248"/>
      <c r="H34" s="249"/>
      <c r="I34" s="250"/>
    </row>
    <row r="35" spans="1:9" ht="15" customHeight="1">
      <c r="A35" s="298">
        <v>1</v>
      </c>
      <c r="B35" s="299" t="s">
        <v>760</v>
      </c>
      <c r="C35" s="253" t="s">
        <v>63</v>
      </c>
      <c r="D35" s="254">
        <v>2</v>
      </c>
      <c r="E35" s="255">
        <f>I35*$I$4</f>
        <v>89477.288400000005</v>
      </c>
      <c r="F35" s="255">
        <v>10000</v>
      </c>
      <c r="G35" s="300">
        <f t="shared" ref="G35:G42" si="2">(E35+F35)*D35</f>
        <v>198954.57680000001</v>
      </c>
      <c r="H35" s="301"/>
      <c r="I35" s="302">
        <v>2164</v>
      </c>
    </row>
    <row r="36" spans="1:9" ht="15" customHeight="1">
      <c r="A36" s="263">
        <v>2</v>
      </c>
      <c r="B36" s="299" t="s">
        <v>761</v>
      </c>
      <c r="C36" s="253" t="s">
        <v>63</v>
      </c>
      <c r="D36" s="254">
        <v>1</v>
      </c>
      <c r="E36" s="255">
        <f>I36*$I$4</f>
        <v>15546.885600000001</v>
      </c>
      <c r="F36" s="255">
        <v>4000</v>
      </c>
      <c r="G36" s="300">
        <f t="shared" si="2"/>
        <v>19546.885600000001</v>
      </c>
      <c r="H36" s="301"/>
      <c r="I36" s="302">
        <v>376</v>
      </c>
    </row>
    <row r="37" spans="1:9" ht="15" customHeight="1">
      <c r="A37" s="263">
        <v>3</v>
      </c>
      <c r="B37" s="303" t="s">
        <v>762</v>
      </c>
      <c r="C37" s="264" t="s">
        <v>85</v>
      </c>
      <c r="D37" s="254">
        <v>20</v>
      </c>
      <c r="E37" s="255">
        <f>I37*$I$4</f>
        <v>537.52530000000002</v>
      </c>
      <c r="F37" s="255">
        <v>240</v>
      </c>
      <c r="G37" s="255">
        <f t="shared" si="2"/>
        <v>15550.506000000001</v>
      </c>
      <c r="H37" s="256"/>
      <c r="I37" s="302">
        <v>13</v>
      </c>
    </row>
    <row r="38" spans="1:9" ht="15" customHeight="1">
      <c r="A38" s="263">
        <v>4</v>
      </c>
      <c r="B38" s="303" t="s">
        <v>763</v>
      </c>
      <c r="C38" s="264" t="s">
        <v>85</v>
      </c>
      <c r="D38" s="254">
        <v>5</v>
      </c>
      <c r="E38" s="255">
        <f>I38*$I$4</f>
        <v>392.80695000000003</v>
      </c>
      <c r="F38" s="255">
        <v>240</v>
      </c>
      <c r="G38" s="255">
        <f t="shared" si="2"/>
        <v>3164.0347500000003</v>
      </c>
      <c r="H38" s="256"/>
      <c r="I38" s="302">
        <v>9.5</v>
      </c>
    </row>
    <row r="39" spans="1:9">
      <c r="A39" s="263">
        <v>5</v>
      </c>
      <c r="B39" s="303" t="s">
        <v>764</v>
      </c>
      <c r="C39" s="264" t="s">
        <v>250</v>
      </c>
      <c r="D39" s="254">
        <v>2</v>
      </c>
      <c r="E39" s="255">
        <v>593</v>
      </c>
      <c r="F39" s="255">
        <v>20</v>
      </c>
      <c r="G39" s="255">
        <f t="shared" si="2"/>
        <v>1226</v>
      </c>
      <c r="H39" s="256"/>
      <c r="I39" s="257"/>
    </row>
    <row r="40" spans="1:9">
      <c r="A40" s="263">
        <v>6</v>
      </c>
      <c r="B40" s="303" t="s">
        <v>765</v>
      </c>
      <c r="C40" s="264" t="s">
        <v>250</v>
      </c>
      <c r="D40" s="254">
        <v>1</v>
      </c>
      <c r="E40" s="255">
        <v>318</v>
      </c>
      <c r="F40" s="255">
        <v>20</v>
      </c>
      <c r="G40" s="255">
        <f t="shared" si="2"/>
        <v>338</v>
      </c>
      <c r="H40" s="256"/>
      <c r="I40" s="257"/>
    </row>
    <row r="41" spans="1:9" ht="25.5">
      <c r="A41" s="263">
        <v>7</v>
      </c>
      <c r="B41" s="303" t="s">
        <v>766</v>
      </c>
      <c r="C41" s="264" t="s">
        <v>85</v>
      </c>
      <c r="D41" s="254">
        <v>3</v>
      </c>
      <c r="E41" s="255">
        <v>50</v>
      </c>
      <c r="F41" s="255">
        <v>40</v>
      </c>
      <c r="G41" s="255">
        <f t="shared" si="2"/>
        <v>270</v>
      </c>
      <c r="H41" s="256"/>
      <c r="I41" s="257"/>
    </row>
    <row r="42" spans="1:9" ht="25.5">
      <c r="A42" s="263">
        <v>8</v>
      </c>
      <c r="B42" s="303" t="s">
        <v>767</v>
      </c>
      <c r="C42" s="264" t="s">
        <v>85</v>
      </c>
      <c r="D42" s="254">
        <v>8</v>
      </c>
      <c r="E42" s="255">
        <v>135</v>
      </c>
      <c r="F42" s="255">
        <v>40</v>
      </c>
      <c r="G42" s="255">
        <f t="shared" si="2"/>
        <v>1400</v>
      </c>
      <c r="H42" s="256"/>
      <c r="I42" s="257"/>
    </row>
    <row r="43" spans="1:9" ht="25.5" customHeight="1">
      <c r="A43" s="243">
        <v>6</v>
      </c>
      <c r="B43" s="304" t="s">
        <v>768</v>
      </c>
      <c r="C43" s="305"/>
      <c r="D43" s="306"/>
      <c r="E43" s="262"/>
      <c r="F43" s="262"/>
      <c r="G43" s="262"/>
      <c r="H43" s="249"/>
      <c r="I43" s="250"/>
    </row>
    <row r="44" spans="1:9" ht="14.45" customHeight="1">
      <c r="A44" s="258">
        <v>1</v>
      </c>
      <c r="B44" s="307" t="s">
        <v>769</v>
      </c>
      <c r="C44" s="308" t="s">
        <v>63</v>
      </c>
      <c r="D44" s="254">
        <v>8</v>
      </c>
      <c r="E44" s="255"/>
      <c r="F44" s="255">
        <v>800</v>
      </c>
      <c r="G44" s="255">
        <f t="shared" ref="G44:G52" si="3">(E44+F44)*D44</f>
        <v>6400</v>
      </c>
      <c r="H44" s="309"/>
      <c r="I44" s="257"/>
    </row>
    <row r="45" spans="1:9" ht="13.35" customHeight="1">
      <c r="A45" s="258">
        <v>2</v>
      </c>
      <c r="B45" s="307" t="s">
        <v>770</v>
      </c>
      <c r="C45" s="308" t="s">
        <v>33</v>
      </c>
      <c r="D45" s="254">
        <v>1</v>
      </c>
      <c r="E45" s="255"/>
      <c r="F45" s="255">
        <v>100</v>
      </c>
      <c r="G45" s="255">
        <f t="shared" si="3"/>
        <v>100</v>
      </c>
      <c r="H45" s="309"/>
      <c r="I45" s="257"/>
    </row>
    <row r="46" spans="1:9" ht="13.35" customHeight="1">
      <c r="A46" s="258">
        <v>3</v>
      </c>
      <c r="B46" s="307" t="s">
        <v>771</v>
      </c>
      <c r="C46" s="308" t="s">
        <v>29</v>
      </c>
      <c r="D46" s="254">
        <v>1</v>
      </c>
      <c r="E46" s="255"/>
      <c r="F46" s="255">
        <v>600</v>
      </c>
      <c r="G46" s="255">
        <f t="shared" si="3"/>
        <v>600</v>
      </c>
      <c r="H46" s="309"/>
      <c r="I46" s="257"/>
    </row>
    <row r="47" spans="1:9" ht="15" customHeight="1">
      <c r="A47" s="258">
        <v>4</v>
      </c>
      <c r="B47" s="307" t="s">
        <v>772</v>
      </c>
      <c r="C47" s="308" t="s">
        <v>29</v>
      </c>
      <c r="D47" s="254">
        <v>1</v>
      </c>
      <c r="E47" s="255"/>
      <c r="F47" s="255">
        <v>300</v>
      </c>
      <c r="G47" s="255">
        <f t="shared" si="3"/>
        <v>300</v>
      </c>
      <c r="H47" s="309"/>
      <c r="I47" s="257"/>
    </row>
    <row r="48" spans="1:9" ht="13.35" customHeight="1">
      <c r="A48" s="258">
        <v>5</v>
      </c>
      <c r="B48" s="307" t="s">
        <v>773</v>
      </c>
      <c r="C48" s="308" t="s">
        <v>29</v>
      </c>
      <c r="D48" s="254">
        <v>1</v>
      </c>
      <c r="E48" s="255"/>
      <c r="F48" s="255">
        <v>600</v>
      </c>
      <c r="G48" s="255">
        <f t="shared" si="3"/>
        <v>600</v>
      </c>
      <c r="H48" s="309"/>
      <c r="I48" s="257"/>
    </row>
    <row r="49" spans="1:12" ht="13.35" customHeight="1">
      <c r="A49" s="258">
        <v>6</v>
      </c>
      <c r="B49" s="307" t="s">
        <v>774</v>
      </c>
      <c r="C49" s="308" t="s">
        <v>29</v>
      </c>
      <c r="D49" s="254">
        <v>1</v>
      </c>
      <c r="E49" s="255"/>
      <c r="F49" s="255">
        <v>600</v>
      </c>
      <c r="G49" s="255">
        <f t="shared" si="3"/>
        <v>600</v>
      </c>
      <c r="H49" s="309"/>
      <c r="I49" s="257"/>
    </row>
    <row r="50" spans="1:12" ht="12.6" customHeight="1">
      <c r="A50" s="258">
        <v>7</v>
      </c>
      <c r="B50" s="307" t="s">
        <v>775</v>
      </c>
      <c r="C50" s="308" t="s">
        <v>29</v>
      </c>
      <c r="D50" s="254">
        <v>1</v>
      </c>
      <c r="E50" s="255"/>
      <c r="F50" s="255">
        <v>800</v>
      </c>
      <c r="G50" s="255">
        <f t="shared" si="3"/>
        <v>800</v>
      </c>
      <c r="H50" s="309"/>
      <c r="I50" s="257"/>
    </row>
    <row r="51" spans="1:12" ht="13.35" customHeight="1">
      <c r="A51" s="258">
        <v>8</v>
      </c>
      <c r="B51" s="307" t="s">
        <v>776</v>
      </c>
      <c r="C51" s="308" t="s">
        <v>29</v>
      </c>
      <c r="D51" s="254">
        <v>1</v>
      </c>
      <c r="E51" s="255"/>
      <c r="F51" s="255">
        <v>200</v>
      </c>
      <c r="G51" s="255">
        <f t="shared" si="3"/>
        <v>200</v>
      </c>
      <c r="H51" s="309"/>
      <c r="I51" s="257"/>
    </row>
    <row r="52" spans="1:12" ht="12.6" customHeight="1">
      <c r="A52" s="258">
        <v>9</v>
      </c>
      <c r="B52" s="307" t="s">
        <v>777</v>
      </c>
      <c r="C52" s="308" t="s">
        <v>29</v>
      </c>
      <c r="D52" s="254">
        <v>1</v>
      </c>
      <c r="E52" s="255"/>
      <c r="F52" s="255">
        <v>120</v>
      </c>
      <c r="G52" s="255">
        <f t="shared" si="3"/>
        <v>120</v>
      </c>
      <c r="H52" s="309"/>
      <c r="I52" s="257"/>
    </row>
    <row r="53" spans="1:12" ht="23.1" customHeight="1">
      <c r="A53" s="243">
        <v>7</v>
      </c>
      <c r="B53" s="310" t="s">
        <v>609</v>
      </c>
      <c r="C53" s="311"/>
      <c r="D53" s="262"/>
      <c r="E53" s="248"/>
      <c r="F53" s="248"/>
      <c r="G53" s="248"/>
      <c r="H53" s="249"/>
      <c r="I53" s="250"/>
    </row>
    <row r="54" spans="1:12" ht="15.6" customHeight="1">
      <c r="A54" s="258">
        <v>1</v>
      </c>
      <c r="B54" s="312" t="s">
        <v>778</v>
      </c>
      <c r="C54" s="313" t="s">
        <v>779</v>
      </c>
      <c r="D54" s="254">
        <v>8</v>
      </c>
      <c r="E54" s="255"/>
      <c r="F54" s="314">
        <v>1000</v>
      </c>
      <c r="G54" s="314">
        <f t="shared" ref="G54:G57" si="4">(E54+F54)*D54</f>
        <v>8000</v>
      </c>
      <c r="H54" s="256"/>
      <c r="I54" s="257"/>
    </row>
    <row r="55" spans="1:12" ht="38.450000000000003" customHeight="1">
      <c r="A55" s="258">
        <v>2</v>
      </c>
      <c r="B55" s="312" t="s">
        <v>780</v>
      </c>
      <c r="C55" s="315" t="s">
        <v>22</v>
      </c>
      <c r="D55" s="254"/>
      <c r="E55" s="255"/>
      <c r="F55" s="314">
        <v>1000</v>
      </c>
      <c r="G55" s="314">
        <f t="shared" si="4"/>
        <v>0</v>
      </c>
      <c r="H55" s="316"/>
      <c r="I55" s="257"/>
    </row>
    <row r="56" spans="1:12" ht="39" customHeight="1">
      <c r="A56" s="258">
        <v>3</v>
      </c>
      <c r="B56" s="312" t="s">
        <v>781</v>
      </c>
      <c r="C56" s="315" t="s">
        <v>22</v>
      </c>
      <c r="D56" s="254"/>
      <c r="E56" s="255"/>
      <c r="F56" s="314">
        <v>2500</v>
      </c>
      <c r="G56" s="314">
        <f t="shared" si="4"/>
        <v>0</v>
      </c>
      <c r="H56" s="316"/>
      <c r="I56" s="317"/>
      <c r="J56">
        <v>0.34</v>
      </c>
    </row>
    <row r="57" spans="1:12" ht="168" customHeight="1">
      <c r="A57" s="318">
        <v>4</v>
      </c>
      <c r="B57" s="312" t="s">
        <v>782</v>
      </c>
      <c r="C57" s="315" t="s">
        <v>680</v>
      </c>
      <c r="D57" s="254">
        <v>534</v>
      </c>
      <c r="E57" s="314">
        <f>J57*J56</f>
        <v>19.036600000000004</v>
      </c>
      <c r="F57" s="314"/>
      <c r="G57" s="314">
        <f t="shared" si="4"/>
        <v>10165.544400000002</v>
      </c>
      <c r="H57" s="319" t="s">
        <v>783</v>
      </c>
      <c r="I57" s="317" t="s">
        <v>784</v>
      </c>
      <c r="J57">
        <v>55.99</v>
      </c>
      <c r="L57" s="320"/>
    </row>
    <row r="58" spans="1:12" ht="18.600000000000001" customHeight="1" thickBot="1">
      <c r="A58" s="321">
        <v>5</v>
      </c>
      <c r="B58" s="322" t="s">
        <v>785</v>
      </c>
      <c r="C58" s="323" t="s">
        <v>250</v>
      </c>
      <c r="D58" s="324">
        <v>1</v>
      </c>
      <c r="E58" s="582"/>
      <c r="F58" s="325">
        <v>500</v>
      </c>
      <c r="G58" s="325">
        <v>500</v>
      </c>
      <c r="H58" s="316"/>
      <c r="I58" s="326"/>
    </row>
    <row r="59" spans="1:12" ht="23.25" customHeight="1" thickBot="1">
      <c r="A59" s="327"/>
      <c r="B59" s="328" t="s">
        <v>786</v>
      </c>
      <c r="C59" s="329"/>
      <c r="D59" s="329"/>
      <c r="E59" s="329"/>
      <c r="F59" s="329"/>
      <c r="G59" s="330">
        <f>SUM(G8:G58)</f>
        <v>422457.64211400005</v>
      </c>
      <c r="H59" s="866" t="s">
        <v>787</v>
      </c>
      <c r="I59" s="866"/>
    </row>
    <row r="60" spans="1:12" ht="9.9499999999999993" customHeight="1">
      <c r="L60" s="320"/>
    </row>
    <row r="61" spans="1:12" ht="15">
      <c r="A61" s="331">
        <v>1</v>
      </c>
      <c r="B61" s="332" t="s">
        <v>788</v>
      </c>
      <c r="D61" s="333"/>
      <c r="E61" s="334">
        <v>0.7</v>
      </c>
      <c r="F61" s="335"/>
      <c r="G61" s="335"/>
      <c r="H61"/>
    </row>
    <row r="62" spans="1:12" ht="26.25" customHeight="1">
      <c r="A62" s="331">
        <v>2</v>
      </c>
      <c r="B62" s="336" t="s">
        <v>789</v>
      </c>
      <c r="D62" s="333"/>
      <c r="E62" s="337">
        <v>10</v>
      </c>
      <c r="F62" s="335" t="s">
        <v>615</v>
      </c>
      <c r="G62" s="335"/>
      <c r="H62"/>
    </row>
    <row r="63" spans="1:12" ht="15" customHeight="1">
      <c r="A63" s="331">
        <v>3</v>
      </c>
      <c r="B63" s="332" t="s">
        <v>790</v>
      </c>
      <c r="D63" s="333"/>
      <c r="E63" s="337">
        <v>30</v>
      </c>
      <c r="F63" s="335" t="s">
        <v>615</v>
      </c>
      <c r="G63" s="335"/>
      <c r="H63" s="867"/>
      <c r="I63" s="867"/>
    </row>
    <row r="64" spans="1:12" ht="15">
      <c r="A64" s="331">
        <v>4</v>
      </c>
      <c r="B64" s="338" t="s">
        <v>791</v>
      </c>
      <c r="D64" s="333"/>
      <c r="E64" s="339" t="s">
        <v>792</v>
      </c>
      <c r="F64" s="340" t="s">
        <v>793</v>
      </c>
      <c r="G64" s="340"/>
      <c r="H64"/>
    </row>
    <row r="65" spans="1:9" ht="15">
      <c r="A65" s="341">
        <v>5</v>
      </c>
      <c r="B65" s="342" t="s">
        <v>794</v>
      </c>
      <c r="C65" s="343"/>
      <c r="D65" s="344"/>
      <c r="E65" s="345">
        <v>12</v>
      </c>
      <c r="F65" s="346" t="s">
        <v>795</v>
      </c>
      <c r="G65" s="346"/>
      <c r="H65" s="343"/>
      <c r="I65" s="343"/>
    </row>
    <row r="66" spans="1:9" ht="15.75">
      <c r="B66" s="347" t="s">
        <v>796</v>
      </c>
      <c r="D66" s="333"/>
      <c r="E66" s="348"/>
      <c r="F66" s="349"/>
      <c r="G66" s="349"/>
      <c r="H66"/>
    </row>
  </sheetData>
  <mergeCells count="4">
    <mergeCell ref="F1:I1"/>
    <mergeCell ref="A2:I2"/>
    <mergeCell ref="H59:I59"/>
    <mergeCell ref="H63:I63"/>
  </mergeCells>
  <phoneticPr fontId="2" type="noConversion"/>
  <pageMargins left="0.7" right="0.7" top="0.75" bottom="0.75" header="0.3" footer="0.3"/>
  <pageSetup paperSize="9" orientation="portrait" r:id="rId1"/>
  <customProperties>
    <customPr name="_pios_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Документ" ma:contentTypeID="0x010100E19DAB7C78E4C64FB3A443B733D55F29" ma:contentTypeVersion="15" ma:contentTypeDescription="Створення нового документа." ma:contentTypeScope="" ma:versionID="bd7182348c2be0e9be644d8b673e83c7">
  <xsd:schema xmlns:xsd="http://www.w3.org/2001/XMLSchema" xmlns:xs="http://www.w3.org/2001/XMLSchema" xmlns:p="http://schemas.microsoft.com/office/2006/metadata/properties" xmlns:ns2="76edd4da-7e66-4870-9263-e723aff5a2c3" xmlns:ns3="959b0b2a-bc55-46eb-8455-29450620f095" targetNamespace="http://schemas.microsoft.com/office/2006/metadata/properties" ma:root="true" ma:fieldsID="81f099f3d63b3f9d8e585b856de68548" ns2:_="" ns3:_="">
    <xsd:import namespace="76edd4da-7e66-4870-9263-e723aff5a2c3"/>
    <xsd:import namespace="959b0b2a-bc55-46eb-8455-29450620f09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edd4da-7e66-4870-9263-e723aff5a2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Теги зображень" ma:readOnly="false" ma:fieldId="{5cf76f15-5ced-4ddc-b409-7134ff3c332f}" ma:taxonomyMulti="true" ma:sspId="2204a950-474a-4b7a-a44a-33afe7cad9c4"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9b0b2a-bc55-46eb-8455-29450620f09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543c3eb-fbcd-46ff-a358-0e622dfd7059}" ma:internalName="TaxCatchAll" ma:showField="CatchAllData" ma:web="959b0b2a-bc55-46eb-8455-29450620f09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Спільний доступ"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Відомості про тих, хто має доступ"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6edd4da-7e66-4870-9263-e723aff5a2c3">
      <Terms xmlns="http://schemas.microsoft.com/office/infopath/2007/PartnerControls"/>
    </lcf76f155ced4ddcb4097134ff3c332f>
    <TaxCatchAll xmlns="959b0b2a-bc55-46eb-8455-29450620f095" xsi:nil="true"/>
  </documentManagement>
</p:properties>
</file>

<file path=customXml/itemProps1.xml><?xml version="1.0" encoding="utf-8"?>
<ds:datastoreItem xmlns:ds="http://schemas.openxmlformats.org/officeDocument/2006/customXml" ds:itemID="{7286D50E-D6DA-410E-9C63-432957ACA6F2}">
  <ds:schemaRefs>
    <ds:schemaRef ds:uri="http://schemas.microsoft.com/sharepoint/v3/contenttype/forms"/>
  </ds:schemaRefs>
</ds:datastoreItem>
</file>

<file path=customXml/itemProps2.xml><?xml version="1.0" encoding="utf-8"?>
<ds:datastoreItem xmlns:ds="http://schemas.openxmlformats.org/officeDocument/2006/customXml" ds:itemID="{B316B3D2-BA8F-4289-80DD-FEBE630529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edd4da-7e66-4870-9263-e723aff5a2c3"/>
    <ds:schemaRef ds:uri="959b0b2a-bc55-46eb-8455-29450620f0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E6532E-6E15-4FEF-BCBD-ADF852E7E606}">
  <ds:schemaRefs>
    <ds:schemaRef ds:uri="http://schemas.microsoft.com/office/2006/metadata/properties"/>
    <ds:schemaRef ds:uri="http://schemas.microsoft.com/office/infopath/2007/PartnerControls"/>
    <ds:schemaRef ds:uri="76edd4da-7e66-4870-9263-e723aff5a2c3"/>
    <ds:schemaRef ds:uri="959b0b2a-bc55-46eb-8455-29450620f095"/>
  </ds:schemaRefs>
</ds:datastoreItem>
</file>

<file path=docMetadata/LabelInfo.xml><?xml version="1.0" encoding="utf-8"?>
<clbl:labelList xmlns:clbl="http://schemas.microsoft.com/office/2020/mipLabelMetadata">
  <clbl:label id="{037e0cb5-d238-4c92-a419-eac9f866b371}" enabled="0" method="" siteId="{037e0cb5-d238-4c92-a419-eac9f866b37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8</vt:i4>
      </vt:variant>
      <vt:variant>
        <vt:lpstr>Іменовані діапазони</vt:lpstr>
      </vt:variant>
      <vt:variant>
        <vt:i4>2</vt:i4>
      </vt:variant>
    </vt:vector>
  </HeadingPairs>
  <TitlesOfParts>
    <vt:vector size="10" baseType="lpstr">
      <vt:lpstr>Тендерна таблиця</vt:lpstr>
      <vt:lpstr>ОСН.МАТЕРІАЛИ</vt:lpstr>
      <vt:lpstr>CАНТЕХНІКА</vt:lpstr>
      <vt:lpstr>Світлодіоди</vt:lpstr>
      <vt:lpstr>Дор знаки</vt:lpstr>
      <vt:lpstr>Пож інвентар</vt:lpstr>
      <vt:lpstr>зонти</vt:lpstr>
      <vt:lpstr>ВЕНТИЛЯЦІЯ</vt:lpstr>
      <vt:lpstr>CАНТЕХНІКА!Область_друку</vt:lpstr>
      <vt:lpstr>'Тендерна таблиця'!Область_друку</vt:lpstr>
    </vt:vector>
  </TitlesOfParts>
  <Manager/>
  <Company>org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VDanylevych</dc:creator>
  <cp:keywords/>
  <dc:description/>
  <cp:lastModifiedBy>Павлишак Андрій</cp:lastModifiedBy>
  <cp:revision/>
  <cp:lastPrinted>2024-02-05T07:17:09Z</cp:lastPrinted>
  <dcterms:created xsi:type="dcterms:W3CDTF">2006-01-14T11:55:28Z</dcterms:created>
  <dcterms:modified xsi:type="dcterms:W3CDTF">2024-10-25T12:13:28Z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0x010100E19DAB7C78E4C64FB3A443B733D55F29</vt:lpwstr>
  </property>
  <property fmtid="{D5CDD505-2E9C-101B-9397-08002B2CF9AE}" pid="3" name="MediaServiceImageTags">
    <vt:lpwstr/>
  </property>
</Properties>
</file>