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2"/>
  <workbookPr codeName="ThisWorkbook" defaultThemeVersion="124226"/>
  <mc:AlternateContent xmlns:mc="http://schemas.openxmlformats.org/markup-compatibility/2006">
    <mc:Choice Requires="x15">
      <x15ac:absPath xmlns:x15ac="http://schemas.microsoft.com/office/spreadsheetml/2010/11/ac" url="C:\Users\vgut\Desktop\CЕС\"/>
    </mc:Choice>
  </mc:AlternateContent>
  <xr:revisionPtr revIDLastSave="0" documentId="13_ncr:1_{6A8D8E70-C8EA-4290-8539-5AB3AA69775B}" xr6:coauthVersionLast="47" xr6:coauthVersionMax="47" xr10:uidLastSave="{00000000-0000-0000-0000-000000000000}"/>
  <bookViews>
    <workbookView xWindow="1170" yWindow="1170" windowWidth="24135" windowHeight="13650" tabRatio="678" activeTab="2" xr2:uid="{00000000-000D-0000-FFFF-FFFF00000000}"/>
  </bookViews>
  <sheets>
    <sheet name="ЗагальнаІнформація" sheetId="17" r:id="rId1"/>
    <sheet name="ТехІнфо" sheetId="10" r:id="rId2"/>
    <sheet name="Зведено" sheetId="15" r:id="rId3"/>
    <sheet name="ДодатиДеталізацію" sheetId="18" r:id="rId4"/>
    <sheet name="ШаблонДляАкту" sheetId="20" r:id="rId5"/>
    <sheet name="ДляДоговору" sheetId="8" state="veryHidden" r:id="rId6"/>
    <sheet name="ШаблонАкту" sheetId="7" state="veryHidden" r:id="rId7"/>
  </sheets>
  <definedNames>
    <definedName name="_xlnm._FilterDatabase" localSheetId="2" hidden="1">Зведено!$A$16:$AC$35</definedName>
  </definedNames>
  <calcPr calcId="191029"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4" i="15" l="1"/>
  <c r="N34" i="15"/>
  <c r="M34" i="15"/>
  <c r="I34" i="15"/>
  <c r="N17" i="15"/>
  <c r="H37" i="20"/>
  <c r="I37" i="20" s="1"/>
  <c r="I18" i="15"/>
  <c r="I19" i="15"/>
  <c r="I20" i="15"/>
  <c r="I21" i="15"/>
  <c r="I22" i="15"/>
  <c r="I23" i="15"/>
  <c r="I24" i="15"/>
  <c r="I25" i="15"/>
  <c r="I26" i="15"/>
  <c r="I27" i="15"/>
  <c r="I28" i="15"/>
  <c r="I29" i="15"/>
  <c r="I30" i="15"/>
  <c r="I31" i="15"/>
  <c r="I32" i="15"/>
  <c r="I33" i="15"/>
  <c r="I35" i="15"/>
  <c r="I17" i="15"/>
  <c r="A18" i="15"/>
  <c r="A19" i="15" s="1"/>
  <c r="A20" i="15" s="1"/>
  <c r="A21" i="15" s="1"/>
  <c r="A22" i="15" s="1"/>
  <c r="A23" i="15" s="1"/>
  <c r="A24" i="15" s="1"/>
  <c r="A25" i="15" s="1"/>
  <c r="A26" i="15" s="1"/>
  <c r="A27" i="15" s="1"/>
  <c r="A28" i="15" s="1"/>
  <c r="A29" i="15" s="1"/>
  <c r="A30" i="15" s="1"/>
  <c r="A31" i="15" s="1"/>
  <c r="A32" i="15" s="1"/>
  <c r="Q24" i="15"/>
  <c r="N24" i="15"/>
  <c r="M24" i="15"/>
  <c r="Q23" i="15"/>
  <c r="N23" i="15"/>
  <c r="M23" i="15"/>
  <c r="Q27" i="15"/>
  <c r="N27" i="15"/>
  <c r="M27" i="15"/>
  <c r="Q26" i="15"/>
  <c r="N26" i="15"/>
  <c r="M26" i="15"/>
  <c r="Q25" i="15"/>
  <c r="N25" i="15"/>
  <c r="M25" i="15"/>
  <c r="Q22" i="15"/>
  <c r="N22" i="15"/>
  <c r="M22" i="15"/>
  <c r="Q21" i="15"/>
  <c r="N21" i="15"/>
  <c r="M21" i="15"/>
  <c r="Q20" i="15"/>
  <c r="N20" i="15"/>
  <c r="M20" i="15"/>
  <c r="Q19" i="15"/>
  <c r="N19" i="15"/>
  <c r="M19" i="15"/>
  <c r="Q18" i="15"/>
  <c r="N18" i="15"/>
  <c r="M18" i="15"/>
  <c r="A33" i="15" l="1"/>
  <c r="I10" i="15"/>
  <c r="I9" i="15"/>
  <c r="H50" i="20" l="1"/>
  <c r="H49" i="20"/>
  <c r="H48" i="20"/>
  <c r="H47" i="20"/>
  <c r="H46" i="20"/>
  <c r="H45" i="20"/>
  <c r="H44" i="20"/>
  <c r="H43" i="20"/>
  <c r="H42" i="20"/>
  <c r="H41" i="20"/>
  <c r="H36" i="20"/>
  <c r="I36" i="20" s="1"/>
  <c r="H35" i="20"/>
  <c r="I35" i="20" s="1"/>
  <c r="H34" i="20"/>
  <c r="I34" i="20" s="1"/>
  <c r="H33" i="20"/>
  <c r="I33" i="20" s="1"/>
  <c r="H32" i="20"/>
  <c r="I32" i="20" s="1"/>
  <c r="H31" i="20"/>
  <c r="I31" i="20" s="1"/>
  <c r="H30" i="20"/>
  <c r="I30" i="20" s="1"/>
  <c r="H29" i="20"/>
  <c r="I29" i="20" s="1"/>
  <c r="H28" i="20"/>
  <c r="I28" i="20" s="1"/>
  <c r="H27" i="20"/>
  <c r="I27" i="20" s="1"/>
  <c r="H26" i="20"/>
  <c r="I26" i="20" s="1"/>
  <c r="D13" i="20"/>
  <c r="D12" i="20"/>
  <c r="D11" i="20"/>
  <c r="D10" i="20"/>
  <c r="D9" i="20"/>
  <c r="G7" i="20"/>
  <c r="D7" i="20"/>
  <c r="B7" i="20"/>
  <c r="G5" i="20"/>
  <c r="K3" i="20"/>
  <c r="K2" i="20"/>
  <c r="B2" i="20"/>
  <c r="A42" i="20"/>
  <c r="A43" i="20" s="1"/>
  <c r="A44" i="20" s="1"/>
  <c r="A45" i="20" s="1"/>
  <c r="A46" i="20" s="1"/>
  <c r="A47" i="20" s="1"/>
  <c r="A48" i="20" s="1"/>
  <c r="A49" i="20" s="1"/>
  <c r="A50" i="20" s="1"/>
  <c r="A51" i="20" s="1"/>
  <c r="A52" i="20" s="1"/>
  <c r="A53" i="20" s="1"/>
  <c r="A54" i="20" s="1"/>
  <c r="M35" i="15" l="1"/>
  <c r="M33" i="15"/>
  <c r="M32" i="15"/>
  <c r="M31" i="15"/>
  <c r="M30" i="15"/>
  <c r="M29" i="15"/>
  <c r="M28" i="15"/>
  <c r="M17" i="15"/>
  <c r="B16" i="20" s="1"/>
  <c r="D18" i="20" l="1"/>
  <c r="D17" i="20"/>
  <c r="D16" i="20"/>
  <c r="D15" i="20"/>
  <c r="G36" i="15"/>
  <c r="N32" i="15"/>
  <c r="E7" i="15"/>
  <c r="P34" i="15" s="1"/>
  <c r="J34" i="15" s="1"/>
  <c r="C31" i="7"/>
  <c r="C28" i="7"/>
  <c r="C26" i="7"/>
  <c r="C30" i="7"/>
  <c r="C29" i="7"/>
  <c r="N28" i="15"/>
  <c r="N29" i="15"/>
  <c r="N30" i="15"/>
  <c r="N31" i="15"/>
  <c r="N33" i="15"/>
  <c r="N35" i="15"/>
  <c r="H37" i="7"/>
  <c r="I37" i="7" s="1"/>
  <c r="H36" i="7"/>
  <c r="I36" i="7" s="1"/>
  <c r="H35" i="7"/>
  <c r="I35" i="7" s="1"/>
  <c r="H34" i="7"/>
  <c r="I34" i="7" s="1"/>
  <c r="H33" i="7"/>
  <c r="I33" i="7" s="1"/>
  <c r="H32" i="7"/>
  <c r="I32" i="7" s="1"/>
  <c r="H31" i="7"/>
  <c r="I31" i="7" s="1"/>
  <c r="H30" i="7"/>
  <c r="I30" i="7" s="1"/>
  <c r="H29" i="7"/>
  <c r="I29" i="7" s="1"/>
  <c r="H28" i="7"/>
  <c r="I28" i="7" s="1"/>
  <c r="H27" i="7"/>
  <c r="I27" i="7" s="1"/>
  <c r="H26" i="7"/>
  <c r="I26" i="7" s="1"/>
  <c r="G7" i="7"/>
  <c r="B18" i="7"/>
  <c r="K2" i="7"/>
  <c r="H6" i="7"/>
  <c r="I6" i="7" s="1"/>
  <c r="I39" i="7" s="1"/>
  <c r="G5" i="7"/>
  <c r="B2" i="7"/>
  <c r="G38" i="8"/>
  <c r="H42" i="7" s="1"/>
  <c r="G39" i="8"/>
  <c r="H43" i="7" s="1"/>
  <c r="G40" i="8"/>
  <c r="H44" i="7" s="1"/>
  <c r="G41" i="8"/>
  <c r="H45" i="7" s="1"/>
  <c r="G42" i="8"/>
  <c r="B34" i="8" s="1"/>
  <c r="G43" i="8"/>
  <c r="H47" i="7" s="1"/>
  <c r="G44" i="8"/>
  <c r="H48" i="7" s="1"/>
  <c r="G45" i="8"/>
  <c r="H49" i="7"/>
  <c r="G46" i="8"/>
  <c r="H50" i="7" s="1"/>
  <c r="G37" i="8"/>
  <c r="H41" i="7" s="1"/>
  <c r="I4" i="15"/>
  <c r="B7" i="7"/>
  <c r="D10" i="7"/>
  <c r="D11" i="7"/>
  <c r="D12" i="7"/>
  <c r="D13" i="7"/>
  <c r="D9" i="7"/>
  <c r="D7" i="7"/>
  <c r="K3" i="7"/>
  <c r="AC36" i="15"/>
  <c r="AB36" i="15"/>
  <c r="AA36" i="15"/>
  <c r="Z36" i="15"/>
  <c r="Y36" i="15"/>
  <c r="X36" i="15"/>
  <c r="W36" i="15"/>
  <c r="V36" i="15"/>
  <c r="U36" i="15"/>
  <c r="T36" i="15"/>
  <c r="S36" i="15"/>
  <c r="R36" i="15"/>
  <c r="O36" i="15"/>
  <c r="L36" i="15"/>
  <c r="K36" i="15"/>
  <c r="Q32" i="15"/>
  <c r="Q35" i="15"/>
  <c r="I8" i="15"/>
  <c r="I7" i="15"/>
  <c r="I6" i="15"/>
  <c r="I5" i="15"/>
  <c r="F33" i="8"/>
  <c r="B38" i="8"/>
  <c r="B39" i="8"/>
  <c r="B40" i="8"/>
  <c r="B41" i="8"/>
  <c r="B42" i="8"/>
  <c r="B43" i="8"/>
  <c r="B44" i="8"/>
  <c r="B45" i="8"/>
  <c r="B46" i="8"/>
  <c r="B47" i="8"/>
  <c r="B48" i="8"/>
  <c r="B49" i="8"/>
  <c r="B50" i="8"/>
  <c r="H36" i="15"/>
  <c r="I46" i="7"/>
  <c r="A42" i="7"/>
  <c r="A43" i="7"/>
  <c r="A44" i="7" s="1"/>
  <c r="A45" i="7" s="1"/>
  <c r="A46" i="7" s="1"/>
  <c r="A47" i="7" s="1"/>
  <c r="A48" i="7" s="1"/>
  <c r="A49" i="7" s="1"/>
  <c r="A50" i="7" s="1"/>
  <c r="A51" i="7" s="1"/>
  <c r="A52" i="7" s="1"/>
  <c r="A53" i="7" s="1"/>
  <c r="A54" i="7" s="1"/>
  <c r="G31" i="8"/>
  <c r="Q33" i="15"/>
  <c r="Q31" i="15"/>
  <c r="Q29" i="15"/>
  <c r="B16" i="7"/>
  <c r="D22" i="7" s="1"/>
  <c r="G29" i="8"/>
  <c r="G24" i="8"/>
  <c r="G26" i="8"/>
  <c r="G28" i="8"/>
  <c r="G27" i="8"/>
  <c r="G30" i="8"/>
  <c r="G25" i="8"/>
  <c r="G32" i="8"/>
  <c r="G20" i="8"/>
  <c r="G21" i="8"/>
  <c r="G15" i="8"/>
  <c r="G22" i="8"/>
  <c r="G18" i="8"/>
  <c r="G23" i="8"/>
  <c r="G13" i="8"/>
  <c r="G11" i="8"/>
  <c r="G19" i="8"/>
  <c r="G17" i="8"/>
  <c r="G16" i="8"/>
  <c r="G10" i="8"/>
  <c r="G12" i="8"/>
  <c r="G14" i="8"/>
  <c r="G7" i="8"/>
  <c r="G8" i="8"/>
  <c r="G6" i="8"/>
  <c r="G9" i="8"/>
  <c r="G5" i="8"/>
  <c r="G33" i="8" s="1"/>
  <c r="A39" i="15"/>
  <c r="A40" i="15" s="1"/>
  <c r="A41" i="15" s="1"/>
  <c r="A42" i="15" s="1"/>
  <c r="A43" i="15" s="1"/>
  <c r="A44" i="15" s="1"/>
  <c r="A45" i="15" s="1"/>
  <c r="A46" i="15" s="1"/>
  <c r="A47" i="15" s="1"/>
  <c r="A48" i="15" s="1"/>
  <c r="A49" i="15" s="1"/>
  <c r="A50" i="15" s="1"/>
  <c r="A51" i="15" s="1"/>
  <c r="P24" i="15" l="1"/>
  <c r="J24" i="15" s="1"/>
  <c r="P23" i="15"/>
  <c r="J23" i="15" s="1"/>
  <c r="P27" i="15"/>
  <c r="J27" i="15" s="1"/>
  <c r="P21" i="15"/>
  <c r="J21" i="15" s="1"/>
  <c r="P18" i="15"/>
  <c r="J18" i="15" s="1"/>
  <c r="P26" i="15"/>
  <c r="J26" i="15" s="1"/>
  <c r="P25" i="15"/>
  <c r="J25" i="15" s="1"/>
  <c r="P22" i="15"/>
  <c r="J22" i="15" s="1"/>
  <c r="P19" i="15"/>
  <c r="J19" i="15" s="1"/>
  <c r="P20" i="15"/>
  <c r="J20" i="15" s="1"/>
  <c r="H46" i="7"/>
  <c r="N36" i="15"/>
  <c r="I36" i="15"/>
  <c r="H15" i="7"/>
  <c r="I15" i="7" s="1"/>
  <c r="P33" i="15"/>
  <c r="J33" i="15" s="1"/>
  <c r="P31" i="15"/>
  <c r="J31" i="15" s="1"/>
  <c r="P35" i="15"/>
  <c r="J35" i="15" s="1"/>
  <c r="P29" i="15"/>
  <c r="J29" i="15" s="1"/>
  <c r="P28" i="15"/>
  <c r="P17" i="15"/>
  <c r="P30" i="15"/>
  <c r="H7" i="20"/>
  <c r="I7" i="20" s="1"/>
  <c r="H7" i="7"/>
  <c r="I7" i="7" s="1"/>
  <c r="P32" i="15"/>
  <c r="J32" i="15" s="1"/>
  <c r="D15" i="7"/>
  <c r="D21" i="7"/>
  <c r="D18" i="7"/>
  <c r="D16" i="7"/>
  <c r="D17" i="7"/>
  <c r="I5" i="7"/>
  <c r="H5" i="7" s="1"/>
  <c r="Q28" i="15"/>
  <c r="Q17" i="15"/>
  <c r="D23" i="7"/>
  <c r="Q30" i="15"/>
  <c r="H6" i="20" l="1"/>
  <c r="I6" i="20" s="1"/>
  <c r="J17" i="15"/>
  <c r="J28" i="15"/>
  <c r="J30" i="15"/>
  <c r="P36" i="15"/>
  <c r="H15" i="20"/>
  <c r="I15" i="20" s="1"/>
  <c r="Q36" i="15"/>
  <c r="I5" i="20" l="1"/>
  <c r="H5" i="20" s="1"/>
  <c r="I39" i="20"/>
  <c r="J36" i="15"/>
</calcChain>
</file>

<file path=xl/sharedStrings.xml><?xml version="1.0" encoding="utf-8"?>
<sst xmlns="http://schemas.openxmlformats.org/spreadsheetml/2006/main" count="789" uniqueCount="426">
  <si>
    <t>№</t>
  </si>
  <si>
    <t>Кількість</t>
  </si>
  <si>
    <t>Монтажні роботи</t>
  </si>
  <si>
    <t>компл</t>
  </si>
  <si>
    <t>Траспортні витрати</t>
  </si>
  <si>
    <t>м.п.</t>
  </si>
  <si>
    <t>Найменування</t>
  </si>
  <si>
    <t>Характеристика</t>
  </si>
  <si>
    <t>Тендерна таблиця</t>
  </si>
  <si>
    <t>Підключення та запуск в експлуатацію</t>
  </si>
  <si>
    <t>компл.</t>
  </si>
  <si>
    <t>Розробка та передача виконавчої документації.</t>
  </si>
  <si>
    <t>Кабельний з'єднювач MC4</t>
  </si>
  <si>
    <t>комплект</t>
  </si>
  <si>
    <t>Відрядні витрати</t>
  </si>
  <si>
    <t>послуга</t>
  </si>
  <si>
    <t>Од. виміру</t>
  </si>
  <si>
    <t>Сума, грн з ПДВ</t>
  </si>
  <si>
    <t>Комплект матеріалів та обладнання для під'єднання до електричної системи АЗК</t>
  </si>
  <si>
    <t>Ціна за одиницю, грн. з ПДВ</t>
  </si>
  <si>
    <t>Загальна вартість, грн. з ПДВ</t>
  </si>
  <si>
    <t>Умови співпраці:</t>
  </si>
  <si>
    <t>Періодичність проведення плановго обслуговування та діагностики сонячної станції</t>
  </si>
  <si>
    <t>рекомендовано неменше 1 раз на 6 місяців</t>
  </si>
  <si>
    <r>
      <t xml:space="preserve">Вартість проведення плановго обслуговування та діагностики сонячної станції </t>
    </r>
    <r>
      <rPr>
        <b/>
        <sz val="11"/>
        <color theme="1"/>
        <rFont val="Arial"/>
        <family val="2"/>
        <charset val="204"/>
      </rPr>
      <t>протягом гарантійного періоду</t>
    </r>
  </si>
  <si>
    <t>грн., рекоментовано безкоштовно</t>
  </si>
  <si>
    <r>
      <t xml:space="preserve">Вартість проведення плановго обслуговування та діагностики сонячної станції </t>
    </r>
    <r>
      <rPr>
        <b/>
        <sz val="11"/>
        <color theme="1"/>
        <rFont val="Arial"/>
        <family val="2"/>
        <charset val="204"/>
      </rPr>
      <t>після гарантійного періоду</t>
    </r>
  </si>
  <si>
    <t>грн.</t>
  </si>
  <si>
    <t>Відтермінування кінцевої оплати</t>
  </si>
  <si>
    <t>днів, від 10 днів до 30</t>
  </si>
  <si>
    <t xml:space="preserve">Гарантійний термін на виконані роботи </t>
  </si>
  <si>
    <t>не менше 5-ти років</t>
  </si>
  <si>
    <t>Вартість пропозиції залежить від курсів іноземних валют</t>
  </si>
  <si>
    <t>Так/Ні</t>
  </si>
  <si>
    <t xml:space="preserve">Частка вартості, залежна від курсових коливань </t>
  </si>
  <si>
    <t>% загальної вартості пропозиції</t>
  </si>
  <si>
    <t>Валюта, від якої встановлюється залежність</t>
  </si>
  <si>
    <t>вказати назву валюти</t>
  </si>
  <si>
    <t>Джерело курсу НБУ</t>
  </si>
  <si>
    <t>http://www.bank.gov.ua/control/uk/curmetal/detail/currency?period=daily</t>
  </si>
  <si>
    <t>Підрядник повинен забезпечити на час гарантійного терміну  онлайн-моніторинг станції та забезпечення стабільної роботи станції</t>
  </si>
  <si>
    <t>ОБОВ'ЯЗКОВО учасники мають надати інформацію про виконання аналогічних робіт та офіційний рекомендаційний лист від Замовника  робіт</t>
  </si>
  <si>
    <t>Необхідний аванс на виконання робіт</t>
  </si>
  <si>
    <t>Термін виконання робіт від дати оплати авансового платежу</t>
  </si>
  <si>
    <t>Даний рядок  заповнюють лише підрядні організації:
- розташовані (зареєстровані) в іншому населеному пункті ніж об`єкт будівництва або при відстані від об`єкта де виконуються БМР до місця розташування будівельної організації понад 50 км в один бік.</t>
  </si>
  <si>
    <t>ПРИМІТКИ ЗАМОВНИКА</t>
  </si>
  <si>
    <t>грн з ПДВ</t>
  </si>
  <si>
    <t xml:space="preserve">Опорні металоконструкції  кріплень панелей.
</t>
  </si>
  <si>
    <t>Відповідальність Підрядника</t>
  </si>
  <si>
    <t xml:space="preserve">Проект </t>
  </si>
  <si>
    <t>Повинні бути запропоновані найбільш оптимальні технічні рішення виходячи з наявної конфігурації дахів, обладнання накопичення та балансу енергоспоживання / генерації.</t>
  </si>
  <si>
    <t>Кабель виробницво Німеччина 1*6мм2</t>
  </si>
  <si>
    <t>ОБОВ'ЯЗКОВО необхідно надати документи гарантійних зобов'язань на товар від виробника та офіційного представника обладнання в Україні (сонячні модулі, інвертори, кріплення)</t>
  </si>
  <si>
    <t xml:space="preserve">Комплект матеріалів та обладнання для під'єднання до заземлення системи АЗК </t>
  </si>
  <si>
    <t>ТЕРМІН ВИКОНАННЯ - 0,2 місяців</t>
  </si>
  <si>
    <t>Розробка та погодження 2х комплектів виконавчих схем, сертифікатів, інструкцій, паспортів на обладнання. Передбачає вичерпний перелік необхідної виконавчої документації змонтованого обладнання та конструкцій.</t>
  </si>
  <si>
    <t>Примітки</t>
  </si>
  <si>
    <t>Загальна вартість проекту, грн. з ПДВ</t>
  </si>
  <si>
    <t>Зведена тендерна таблиця</t>
  </si>
  <si>
    <t>Відповідальність Підрядника
Можна заміняти на аналогічні по якості зі списку першої десятки виробників  Tier 1. Також пропонувати іншу потужність та кількість яка б не перевищувала 15 % перенавантаження на інвертор</t>
  </si>
  <si>
    <t xml:space="preserve">Відповідальність Підрядника
</t>
  </si>
  <si>
    <t>Recommended max. PV power</t>
  </si>
  <si>
    <t>V</t>
  </si>
  <si>
    <t xml:space="preserve"> W</t>
  </si>
  <si>
    <t>W</t>
  </si>
  <si>
    <t>VA</t>
  </si>
  <si>
    <t xml:space="preserve"> VA</t>
  </si>
  <si>
    <t>A</t>
  </si>
  <si>
    <t>25.2</t>
  </si>
  <si>
    <t>28.5</t>
  </si>
  <si>
    <t xml:space="preserve"> A</t>
  </si>
  <si>
    <t xml:space="preserve">33.5 </t>
  </si>
  <si>
    <t xml:space="preserve">Мережевий інвертор </t>
  </si>
  <si>
    <t xml:space="preserve">Максимальна вхідна напруга </t>
  </si>
  <si>
    <t>Діапазон напруг MPP 1</t>
  </si>
  <si>
    <t xml:space="preserve">Максимальний вхідний струм (по входах) </t>
  </si>
  <si>
    <t xml:space="preserve">Число незалежних MPP входів </t>
  </si>
  <si>
    <t xml:space="preserve">Діапазон вихідних напруг </t>
  </si>
  <si>
    <t xml:space="preserve">Вихідна частота змінного струму </t>
  </si>
  <si>
    <t>Максимальний ККД</t>
  </si>
  <si>
    <t>Розміри (ШхВхГ)</t>
  </si>
  <si>
    <t xml:space="preserve">Маса </t>
  </si>
  <si>
    <t>рівень захисту</t>
  </si>
  <si>
    <t xml:space="preserve">Тип- монокристал
</t>
  </si>
  <si>
    <t xml:space="preserve">Потужність 
</t>
  </si>
  <si>
    <t xml:space="preserve">Струм в ТМП 
</t>
  </si>
  <si>
    <t xml:space="preserve">Струм КЗ (Isc) 
</t>
  </si>
  <si>
    <t xml:space="preserve">Напруга в ТМП 
</t>
  </si>
  <si>
    <t xml:space="preserve">Напруга (Voc) 
</t>
  </si>
  <si>
    <t xml:space="preserve">Розміри 
</t>
  </si>
  <si>
    <t>Вт</t>
  </si>
  <si>
    <t>А</t>
  </si>
  <si>
    <t>В</t>
  </si>
  <si>
    <t xml:space="preserve">А </t>
  </si>
  <si>
    <t xml:space="preserve">230-400 </t>
  </si>
  <si>
    <t>50/60 (+-3)</t>
  </si>
  <si>
    <t>Гц</t>
  </si>
  <si>
    <t>кг</t>
  </si>
  <si>
    <t>мм</t>
  </si>
  <si>
    <t xml:space="preserve">200 V ~ 1000 </t>
  </si>
  <si>
    <t>40 A</t>
  </si>
  <si>
    <t xml:space="preserve">160 V ~ 950 </t>
  </si>
  <si>
    <t xml:space="preserve"> V</t>
  </si>
  <si>
    <t>230 Vac / 400 Vac, 3W/N+PE</t>
  </si>
  <si>
    <t>640 x 530 x 270 mm</t>
  </si>
  <si>
    <t xml:space="preserve">525 x 470 x 262 mm </t>
  </si>
  <si>
    <t>+ панель моніторингу</t>
  </si>
  <si>
    <t xml:space="preserve"> IP66</t>
  </si>
  <si>
    <t>ЗАСТОСОВУВАНІ ВУЗЛИ КРІПЛЕНЬ</t>
  </si>
  <si>
    <t>Покриття профлистом</t>
  </si>
  <si>
    <t>Покриття сендвіч-панелями</t>
  </si>
  <si>
    <t>Мяке покриття</t>
  </si>
  <si>
    <t>Додатково, для забезпечення стійкості додатково застосовувати розтяжки до несучих конструкцій</t>
  </si>
  <si>
    <t xml:space="preserve">Термін виконання робіт від дати оплати авансового платежу            </t>
  </si>
  <si>
    <t>АЗС_04</t>
  </si>
  <si>
    <t>1,075 x 555 x300 mm</t>
  </si>
  <si>
    <t>74 kg</t>
  </si>
  <si>
    <t>43 kg</t>
  </si>
  <si>
    <t>АЗС_01</t>
  </si>
  <si>
    <t>АЗС_17</t>
  </si>
  <si>
    <t xml:space="preserve">Шафа електрична в комплекті 
Обовязково з врахуванням захисту можливого попадання зустрічної напруги при роботі на резервному генераторі та обліку генерованої електроенергії,  та захисту від можливого попадання генерації до загальної мережі (при аварійному відключенні), автоматичний контроль генерації з її обмеженням в разі перевищення над власним споживанням. (У разі необхідності розпломбування щита - узгодження із відповідним РЕМом чи Обленерго та інженером енергетиком по експлуатації)  
Матеріали для живлення Smart Logger 3000а:
Розетка із заземленням Schneider Electric без шторок 
Автоматичний вимикач Schneider Electric 
Кабель силовий багатожильний ПВС </t>
  </si>
  <si>
    <t>заземлювачі, оцинкований дріт,  мідний дріт 
приварка  до інших контурів, обовязкове заземлення інвертора.</t>
  </si>
  <si>
    <t xml:space="preserve">Кабель силовий </t>
  </si>
  <si>
    <t>Проведення перевірки несучої здатності покрівельних конструкцій та надання письмових висновків щодо можливості розміщення СЕС на даху, Збір даних для проектування та визначення типу кріплень. Оцінка навколишнього середовища на предмет затінення СЕС.</t>
  </si>
  <si>
    <t>Єдиний код</t>
  </si>
  <si>
    <t>Область</t>
  </si>
  <si>
    <t>Адреса</t>
  </si>
  <si>
    <t xml:space="preserve">Львівська обл., Яворівський р-н, смт.Краковець, вул.Вербицького, 68 </t>
  </si>
  <si>
    <t>АЗС_31</t>
  </si>
  <si>
    <t>Львівська обл., м. Львів, проспект Чорновола В., 14</t>
  </si>
  <si>
    <t>АЗС_46</t>
  </si>
  <si>
    <t>Львівська обл., Мостиський р-н, с. Волиця, вул. Дружби, 205 А</t>
  </si>
  <si>
    <t>АЗС_48</t>
  </si>
  <si>
    <t>Львівська обл., м. Червоноград, вул. Львівська, 51</t>
  </si>
  <si>
    <t>АЗС_56</t>
  </si>
  <si>
    <t>Львівська обл., м. Дрогобич вул.Стрийська, 274/1</t>
  </si>
  <si>
    <t>АЗС_61</t>
  </si>
  <si>
    <t xml:space="preserve">Львівська обл., м.Трускавець, вул..Дрогобицька, 35 «а» </t>
  </si>
  <si>
    <t>АЗС_64</t>
  </si>
  <si>
    <t>м. Львів, вул. Наукова, 2а</t>
  </si>
  <si>
    <t>АЗС_71</t>
  </si>
  <si>
    <t>Львівська обл., Бродівський р-н, м.Броди, вул.В.Фільварки, 101</t>
  </si>
  <si>
    <t>АЗС_74</t>
  </si>
  <si>
    <t>м. Тернопіль, вул. 15-квітня, 1a</t>
  </si>
  <si>
    <t>АЗС_81</t>
  </si>
  <si>
    <t>Тернопільська обл, м. Зборів, вул. Тернопільська, 50</t>
  </si>
  <si>
    <t>АЗС_84</t>
  </si>
  <si>
    <t>с. Почаєвичі, перехрестя доріг Трускавець-Львів,Cтрий-Дрогобич</t>
  </si>
  <si>
    <t>АЗС_87</t>
  </si>
  <si>
    <t>м.Львів, вул.Богдана Хмельницького, 292</t>
  </si>
  <si>
    <t>АЗС_90</t>
  </si>
  <si>
    <t>АЗС_91</t>
  </si>
  <si>
    <t>Львівська обл., м.Львів пр-т Червоної Калини, 34-А</t>
  </si>
  <si>
    <t>Пустомитівський р-н, с. Гамаліївка, вул. Київська , 24</t>
  </si>
  <si>
    <t>АЗС_94</t>
  </si>
  <si>
    <t>Івано-Франківська обл., Рогатинський р-н, м.Рогатин, вул. Мухи, 1</t>
  </si>
  <si>
    <t>м. Івано-Франківськ, вул. Вовчинецька, 225 "д"</t>
  </si>
  <si>
    <t>АЗС_10</t>
  </si>
  <si>
    <t>АЗС_11</t>
  </si>
  <si>
    <t>Івано-Франківська обл., Тисменицький р-н, с. Угринів, вул.Галицька, 23а</t>
  </si>
  <si>
    <t>АЗС_14</t>
  </si>
  <si>
    <t>АЗС_15</t>
  </si>
  <si>
    <t>АЗС_16</t>
  </si>
  <si>
    <t>Івано-Франківська обл., Снятинський р-н, с.Хлібичин, вул.Жовтнева, 39</t>
  </si>
  <si>
    <t>Івано-Франківська обл., м. Снятин, вул. Винниченка, 29</t>
  </si>
  <si>
    <t>Івано-Франківська обл., м.Коломия, вул.Карпатська, 142-Б</t>
  </si>
  <si>
    <t>АЗС_21</t>
  </si>
  <si>
    <t>Івано-Франківська обл., Надвірянський р-н, м.Надвірна, вул.Вокзальна, 8</t>
  </si>
  <si>
    <t>АЗС_25</t>
  </si>
  <si>
    <t>АЗС_28</t>
  </si>
  <si>
    <t>Чернівецька обл., м.Чернівці вул. Калинівська, 1-А</t>
  </si>
  <si>
    <t xml:space="preserve">Закарпатська обл., Ужгородський р-н, м.Чоп, вул.Ужгородська, 9 </t>
  </si>
  <si>
    <t>АЗС_19</t>
  </si>
  <si>
    <t xml:space="preserve">Закарпатська обл., Хустський р-н, м.Хуст, вул.Львівська, 206 </t>
  </si>
  <si>
    <t>АЗС_23</t>
  </si>
  <si>
    <t>Закарпатська обл., м. Берегово, вул.Б. Хмельницького, 86</t>
  </si>
  <si>
    <t>Закарпатська обл., Берегівський р-н., с. Астей, вул. Дружби Народів, 106</t>
  </si>
  <si>
    <t>Потужність СЕС, кВт</t>
  </si>
  <si>
    <t>Інвертор, кВт</t>
  </si>
  <si>
    <t>№ АЗС</t>
  </si>
  <si>
    <t>Назва АЗС</t>
  </si>
  <si>
    <t>Потужність СЕС по панелях, кВт</t>
  </si>
  <si>
    <t>Всього</t>
  </si>
  <si>
    <r>
      <rPr>
        <sz val="10"/>
        <rFont val="Arial"/>
        <family val="2"/>
      </rPr>
      <t>Technical Specification</t>
    </r>
  </si>
  <si>
    <r>
      <rPr>
        <sz val="11"/>
        <rFont val="Arial"/>
        <family val="2"/>
      </rPr>
      <t>Efficiency</t>
    </r>
  </si>
  <si>
    <r>
      <rPr>
        <sz val="7"/>
        <rFont val="Arial"/>
        <family val="2"/>
      </rPr>
      <t>Max. efficiency</t>
    </r>
  </si>
  <si>
    <r>
      <rPr>
        <sz val="7"/>
        <rFont val="Arial"/>
        <family val="2"/>
      </rPr>
      <t>European weighted efficiency</t>
    </r>
  </si>
  <si>
    <r>
      <rPr>
        <sz val="11"/>
        <rFont val="Arial"/>
        <family val="2"/>
      </rPr>
      <t>Input</t>
    </r>
  </si>
  <si>
    <r>
      <rPr>
        <sz val="7"/>
        <rFont val="Arial"/>
        <family val="2"/>
      </rPr>
      <t xml:space="preserve">Max. input voltage </t>
    </r>
    <r>
      <rPr>
        <vertAlign val="superscript"/>
        <sz val="4.5"/>
        <rFont val="Arial"/>
        <family val="2"/>
      </rPr>
      <t>1</t>
    </r>
  </si>
  <si>
    <r>
      <rPr>
        <sz val="7"/>
        <rFont val="Arial"/>
        <family val="2"/>
      </rPr>
      <t xml:space="preserve">Operating voltage range </t>
    </r>
    <r>
      <rPr>
        <vertAlign val="superscript"/>
        <sz val="4.5"/>
        <rFont val="Arial"/>
        <family val="2"/>
      </rPr>
      <t>2</t>
    </r>
  </si>
  <si>
    <r>
      <rPr>
        <sz val="7"/>
        <rFont val="Arial"/>
        <family val="2"/>
      </rPr>
      <t>Start voltage</t>
    </r>
  </si>
  <si>
    <r>
      <rPr>
        <sz val="7"/>
        <rFont val="Arial"/>
        <family val="2"/>
      </rPr>
      <t>Rated input voltage</t>
    </r>
  </si>
  <si>
    <r>
      <rPr>
        <sz val="7"/>
        <rFont val="Arial"/>
        <family val="2"/>
      </rPr>
      <t>Max. input current per MPPT</t>
    </r>
  </si>
  <si>
    <r>
      <rPr>
        <sz val="7"/>
        <rFont val="Arial"/>
        <family val="2"/>
      </rPr>
      <t>Max. short-circuit current</t>
    </r>
  </si>
  <si>
    <r>
      <rPr>
        <sz val="7"/>
        <rFont val="Arial"/>
        <family val="2"/>
      </rPr>
      <t>30 A</t>
    </r>
  </si>
  <si>
    <r>
      <rPr>
        <sz val="7"/>
        <rFont val="Arial"/>
        <family val="2"/>
      </rPr>
      <t>Number of MPP trackers</t>
    </r>
  </si>
  <si>
    <r>
      <rPr>
        <sz val="7"/>
        <rFont val="Arial"/>
        <family val="2"/>
      </rPr>
      <t>Max. number of inputs</t>
    </r>
  </si>
  <si>
    <r>
      <rPr>
        <sz val="11"/>
        <rFont val="Arial"/>
        <family val="2"/>
      </rPr>
      <t>Output</t>
    </r>
  </si>
  <si>
    <r>
      <rPr>
        <sz val="7"/>
        <rFont val="Arial"/>
        <family val="2"/>
      </rPr>
      <t>Grid connection</t>
    </r>
  </si>
  <si>
    <r>
      <rPr>
        <sz val="7"/>
        <rFont val="Arial"/>
        <family val="2"/>
      </rPr>
      <t>Three phase</t>
    </r>
  </si>
  <si>
    <r>
      <rPr>
        <sz val="7"/>
        <rFont val="Arial"/>
        <family val="2"/>
      </rPr>
      <t>Rated output power</t>
    </r>
  </si>
  <si>
    <r>
      <rPr>
        <sz val="7"/>
        <rFont val="Arial"/>
        <family val="2"/>
      </rPr>
      <t>Max. apparent power</t>
    </r>
  </si>
  <si>
    <r>
      <rPr>
        <sz val="7"/>
        <rFont val="Arial"/>
        <family val="2"/>
      </rPr>
      <t>Rated  output voltage</t>
    </r>
  </si>
  <si>
    <r>
      <rPr>
        <sz val="7"/>
        <rFont val="Arial"/>
        <family val="2"/>
      </rPr>
      <t>220 Vac / 380 Vac, 230 Vac / 400 Vac, 3W + N + PE</t>
    </r>
  </si>
  <si>
    <r>
      <rPr>
        <sz val="7"/>
        <rFont val="Arial"/>
        <family val="2"/>
      </rPr>
      <t>Rated AC grid frequency</t>
    </r>
  </si>
  <si>
    <r>
      <rPr>
        <sz val="7"/>
        <rFont val="Arial"/>
        <family val="2"/>
      </rPr>
      <t>50 Hz / 60 Hz</t>
    </r>
  </si>
  <si>
    <r>
      <rPr>
        <sz val="7"/>
        <rFont val="Arial"/>
        <family val="2"/>
      </rPr>
      <t>Max. output current</t>
    </r>
  </si>
  <si>
    <r>
      <rPr>
        <sz val="7"/>
        <rFont val="Arial"/>
        <family val="2"/>
      </rPr>
      <t>Adjustable power factor</t>
    </r>
  </si>
  <si>
    <r>
      <rPr>
        <sz val="7"/>
        <rFont val="Arial"/>
        <family val="2"/>
      </rPr>
      <t>0.8 leading     0.8 lagging</t>
    </r>
  </si>
  <si>
    <r>
      <rPr>
        <sz val="7"/>
        <rFont val="Arial"/>
        <family val="2"/>
      </rPr>
      <t>Max. total harmonic distortion</t>
    </r>
  </si>
  <si>
    <r>
      <rPr>
        <sz val="7"/>
        <rFont val="kiloji - P"/>
      </rPr>
      <t xml:space="preserve">≤ </t>
    </r>
    <r>
      <rPr>
        <sz val="7"/>
        <rFont val="Arial"/>
        <family val="2"/>
      </rPr>
      <t>3 %</t>
    </r>
  </si>
  <si>
    <r>
      <rPr>
        <sz val="11"/>
        <rFont val="Arial"/>
        <family val="2"/>
      </rPr>
      <t>Features &amp; Protections</t>
    </r>
  </si>
  <si>
    <r>
      <rPr>
        <sz val="7"/>
        <rFont val="Arial"/>
        <family val="2"/>
      </rPr>
      <t>Input-side disconnection device</t>
    </r>
  </si>
  <si>
    <r>
      <rPr>
        <sz val="7"/>
        <rFont val="Arial"/>
        <family val="2"/>
      </rPr>
      <t>Yes</t>
    </r>
  </si>
  <si>
    <r>
      <rPr>
        <sz val="7"/>
        <rFont val="Arial"/>
        <family val="2"/>
      </rPr>
      <t>Anti-islanding protection</t>
    </r>
  </si>
  <si>
    <r>
      <rPr>
        <sz val="7"/>
        <rFont val="Arial"/>
        <family val="2"/>
      </rPr>
      <t>AC over-current protection</t>
    </r>
  </si>
  <si>
    <r>
      <rPr>
        <sz val="7"/>
        <rFont val="Arial"/>
        <family val="2"/>
      </rPr>
      <t>AC short-circuit protection</t>
    </r>
  </si>
  <si>
    <r>
      <rPr>
        <sz val="7"/>
        <rFont val="Arial"/>
        <family val="2"/>
      </rPr>
      <t>AC over-voltage protection</t>
    </r>
  </si>
  <si>
    <r>
      <rPr>
        <sz val="7"/>
        <rFont val="Arial"/>
        <family val="2"/>
      </rPr>
      <t>DC reverse-polarity protection</t>
    </r>
  </si>
  <si>
    <r>
      <rPr>
        <sz val="7"/>
        <rFont val="Arial"/>
        <family val="2"/>
      </rPr>
      <t xml:space="preserve">DC surge protection </t>
    </r>
    <r>
      <rPr>
        <vertAlign val="superscript"/>
        <sz val="4.5"/>
        <rFont val="Arial"/>
        <family val="2"/>
      </rPr>
      <t>3</t>
    </r>
  </si>
  <si>
    <r>
      <rPr>
        <sz val="7"/>
        <rFont val="Arial"/>
        <family val="2"/>
      </rPr>
      <t xml:space="preserve">AC surge protection </t>
    </r>
    <r>
      <rPr>
        <vertAlign val="superscript"/>
        <sz val="4.5"/>
        <rFont val="Arial"/>
        <family val="2"/>
      </rPr>
      <t>3</t>
    </r>
  </si>
  <si>
    <r>
      <rPr>
        <sz val="7"/>
        <rFont val="Arial"/>
        <family val="2"/>
      </rPr>
      <t>Residual current monitoring unit</t>
    </r>
  </si>
  <si>
    <r>
      <rPr>
        <sz val="7"/>
        <rFont val="Arial"/>
        <family val="2"/>
      </rPr>
      <t>Arc fault protection</t>
    </r>
  </si>
  <si>
    <r>
      <rPr>
        <sz val="7"/>
        <rFont val="Arial"/>
        <family val="2"/>
      </rPr>
      <t>Ripple receiver control</t>
    </r>
  </si>
  <si>
    <r>
      <rPr>
        <sz val="10"/>
        <rFont val="Arial"/>
        <family val="2"/>
      </rPr>
      <t>General Data</t>
    </r>
  </si>
  <si>
    <r>
      <rPr>
        <sz val="7"/>
        <rFont val="Arial"/>
        <family val="2"/>
      </rPr>
      <t>Operation temperature range</t>
    </r>
  </si>
  <si>
    <r>
      <rPr>
        <sz val="7"/>
        <rFont val="Arial"/>
        <family val="2"/>
      </rPr>
      <t xml:space="preserve">-25 ~ + 60 </t>
    </r>
    <r>
      <rPr>
        <sz val="7"/>
        <rFont val="Arial Black"/>
        <family val="2"/>
      </rPr>
      <t>°</t>
    </r>
    <r>
      <rPr>
        <sz val="7"/>
        <rFont val="Arial"/>
        <family val="2"/>
      </rPr>
      <t xml:space="preserve">C (-13 </t>
    </r>
    <r>
      <rPr>
        <sz val="7"/>
        <rFont val="Arial Black"/>
        <family val="2"/>
      </rPr>
      <t>°</t>
    </r>
    <r>
      <rPr>
        <sz val="7"/>
        <rFont val="Arial"/>
        <family val="2"/>
      </rPr>
      <t xml:space="preserve">F ~ 140 </t>
    </r>
    <r>
      <rPr>
        <sz val="7"/>
        <rFont val="Arial Black"/>
        <family val="2"/>
      </rPr>
      <t>°</t>
    </r>
    <r>
      <rPr>
        <sz val="7"/>
        <rFont val="Arial"/>
        <family val="2"/>
      </rPr>
      <t xml:space="preserve">F) (Derating above 45 </t>
    </r>
    <r>
      <rPr>
        <sz val="7"/>
        <rFont val="Arial Black"/>
        <family val="2"/>
      </rPr>
      <t>°</t>
    </r>
    <r>
      <rPr>
        <sz val="7"/>
        <rFont val="Arial"/>
        <family val="2"/>
      </rPr>
      <t>C @ Rated output power)</t>
    </r>
  </si>
  <si>
    <r>
      <rPr>
        <sz val="7"/>
        <rFont val="Arial"/>
        <family val="2"/>
      </rPr>
      <t>Relative humidity</t>
    </r>
  </si>
  <si>
    <r>
      <rPr>
        <sz val="7"/>
        <rFont val="Arial"/>
        <family val="2"/>
      </rPr>
      <t>0 % RH ~ 100% RH</t>
    </r>
  </si>
  <si>
    <r>
      <rPr>
        <sz val="7"/>
        <rFont val="Arial"/>
        <family val="2"/>
      </rPr>
      <t>Max. operating altitude</t>
    </r>
  </si>
  <si>
    <r>
      <rPr>
        <sz val="7"/>
        <rFont val="Arial"/>
        <family val="2"/>
      </rPr>
      <t>0 - 4,000 m (13,123 ft.) (Derating above 2000 m)</t>
    </r>
  </si>
  <si>
    <r>
      <rPr>
        <sz val="7"/>
        <rFont val="Arial"/>
        <family val="2"/>
      </rPr>
      <t>Cooling</t>
    </r>
  </si>
  <si>
    <r>
      <rPr>
        <sz val="7"/>
        <rFont val="Arial"/>
        <family val="2"/>
      </rPr>
      <t>Natural Convection</t>
    </r>
  </si>
  <si>
    <r>
      <rPr>
        <sz val="7"/>
        <rFont val="Arial"/>
        <family val="2"/>
      </rPr>
      <t>Display</t>
    </r>
  </si>
  <si>
    <r>
      <rPr>
        <sz val="7"/>
        <rFont val="Arial"/>
        <family val="2"/>
      </rPr>
      <t>LED Indicators</t>
    </r>
  </si>
  <si>
    <r>
      <rPr>
        <sz val="7"/>
        <rFont val="Arial"/>
        <family val="2"/>
      </rPr>
      <t>Communication</t>
    </r>
  </si>
  <si>
    <r>
      <rPr>
        <sz val="7"/>
        <rFont val="Arial"/>
        <family val="2"/>
      </rPr>
      <t>RS485; WLAN via Smart Dongle-WLAN; 4G / 3G / 2G via Smart Dongle-4G</t>
    </r>
  </si>
  <si>
    <r>
      <rPr>
        <sz val="7"/>
        <rFont val="Arial"/>
        <family val="2"/>
      </rPr>
      <t>Weight (with mounting plate)</t>
    </r>
  </si>
  <si>
    <r>
      <rPr>
        <sz val="7"/>
        <rFont val="Arial"/>
        <family val="2"/>
      </rPr>
      <t>25 kg</t>
    </r>
  </si>
  <si>
    <r>
      <rPr>
        <sz val="7"/>
        <rFont val="Arial"/>
        <family val="2"/>
      </rPr>
      <t>Dimensions (W x H x D) (incl. mounting plate)</t>
    </r>
  </si>
  <si>
    <r>
      <rPr>
        <sz val="7"/>
        <rFont val="Arial"/>
        <family val="2"/>
      </rPr>
      <t>Degree of protection</t>
    </r>
  </si>
  <si>
    <r>
      <rPr>
        <sz val="7"/>
        <rFont val="Arial"/>
        <family val="2"/>
      </rPr>
      <t>IP65</t>
    </r>
  </si>
  <si>
    <r>
      <rPr>
        <sz val="10"/>
        <rFont val="Arial"/>
        <family val="2"/>
      </rPr>
      <t>Standard Compliance (more available upon request)</t>
    </r>
  </si>
  <si>
    <r>
      <rPr>
        <sz val="7"/>
        <rFont val="Arial"/>
        <family val="2"/>
      </rPr>
      <t>Safety</t>
    </r>
  </si>
  <si>
    <r>
      <rPr>
        <sz val="7"/>
        <rFont val="Arial"/>
        <family val="2"/>
      </rPr>
      <t>EN/IEC 62109-1, EN/IEC 62109-2</t>
    </r>
  </si>
  <si>
    <r>
      <rPr>
        <sz val="7"/>
        <rFont val="Arial"/>
        <family val="2"/>
      </rPr>
      <t>Grid connection standards</t>
    </r>
  </si>
  <si>
    <r>
      <rPr>
        <sz val="7"/>
        <rFont val="Arial"/>
        <family val="2"/>
      </rPr>
      <t>G98, G99, EN 50438, CEI 0-21, CEI 0-16, VDE-AR-N-4105,  VDE-AR-N-4110, AS 4777, C10/11, ABNT, UTE C15-712, RD 1699, RD 661, PO 12.3, TOR D4, NRS 097-2-1, IEC61727, IEC62116, DEWA 2.0</t>
    </r>
  </si>
  <si>
    <t>Сонячна панелі</t>
  </si>
  <si>
    <t>% від повної вартості обладнання, рекомендовано після плата,</t>
  </si>
  <si>
    <t>Підключення і запуск в експлуатацію</t>
  </si>
  <si>
    <t>Розробка і передача виконавчої документації.</t>
  </si>
  <si>
    <t>Вказує учасник</t>
  </si>
  <si>
    <t xml:space="preserve">Разовий виїзд для замірів і визначення несучої спроможності покриття.
</t>
  </si>
  <si>
    <t>Номер АЗС</t>
  </si>
  <si>
    <t>Адреса АЗС</t>
  </si>
  <si>
    <t>Код АЗС</t>
  </si>
  <si>
    <t>Інвертор</t>
  </si>
  <si>
    <t>П-сть, кВт</t>
  </si>
  <si>
    <t>Ціна в USD з ПДВ</t>
  </si>
  <si>
    <t>Всі значення заповнити відповідно до характеристик запропонованих панелей</t>
  </si>
  <si>
    <t>USD</t>
  </si>
  <si>
    <t xml:space="preserve">Івано-Франківська обл., смт.Богородчани, вул.Шевченка,101 </t>
  </si>
  <si>
    <t>Івано-Франківська обл., Галицький р-н., м. Бурштин, вул. С. Бандери, 38 а</t>
  </si>
  <si>
    <t>Марка панелей</t>
  </si>
  <si>
    <t>Модель</t>
  </si>
  <si>
    <t>Сонячні панелі</t>
  </si>
  <si>
    <t>Ціна з ПДВ</t>
  </si>
  <si>
    <t>Кількість панелей, шт</t>
  </si>
  <si>
    <t>Фомула</t>
  </si>
  <si>
    <t>Повна вартість СЕС</t>
  </si>
  <si>
    <t>Формула</t>
  </si>
  <si>
    <t>Ціна в UAH</t>
  </si>
  <si>
    <r>
      <t xml:space="preserve">Вартість проведення плановго обслуговування та діагностики сонячної станції </t>
    </r>
    <r>
      <rPr>
        <b/>
        <sz val="9"/>
        <color theme="1"/>
        <rFont val="Arial"/>
        <family val="2"/>
        <charset val="204"/>
      </rPr>
      <t>протягом гарантійного періоду</t>
    </r>
  </si>
  <si>
    <r>
      <t xml:space="preserve">Вартість проведення плановго обслуговування та діагностики сонячної станції </t>
    </r>
    <r>
      <rPr>
        <b/>
        <sz val="9"/>
        <color theme="1"/>
        <rFont val="Arial"/>
        <family val="2"/>
        <charset val="204"/>
      </rPr>
      <t>після гарантійного періоду</t>
    </r>
  </si>
  <si>
    <t>UAH</t>
  </si>
  <si>
    <t>Мережевий інвертор + логер</t>
  </si>
  <si>
    <t>Поставка, монтаж та запуск в єксплуатацію СЕС</t>
  </si>
  <si>
    <t>1*6мм2 безгалогенний гнучкий кабель, подвійна ізоляція, захист від УФ. Прокладання кабелю по покрівлях та під гіпсокартоном у гофротрубі 
Розхідні матеріали для прокладання кабелю (кліпси для гофри з дюблями, термоусадка, кабельні стяжи стійкі до ультрафіолету, тощо)
Гарантія виробника  на кабельну продукцію - 15 років.</t>
  </si>
  <si>
    <t>м.п. комплект</t>
  </si>
  <si>
    <t>Загальна інформація по тендеру</t>
  </si>
  <si>
    <t>Поля таким кольором заповнує часник</t>
  </si>
  <si>
    <t xml:space="preserve">% від повної вартості обладнання, рекомендовано 0% </t>
  </si>
  <si>
    <t>Правила до заповнення файлу</t>
  </si>
  <si>
    <t>Тендерний курс не змінювати при подачі пропозиції</t>
  </si>
  <si>
    <t>Всі суми вказуються з ПДВ</t>
  </si>
  <si>
    <t>Пот-сть СЕС номінальна, кВт</t>
  </si>
  <si>
    <t>За комплект</t>
  </si>
  <si>
    <t>кВт</t>
  </si>
  <si>
    <t xml:space="preserve">Гарантія = 10 років; Гарантія на виробіток = 25 років
</t>
  </si>
  <si>
    <t xml:space="preserve">Гарантія = 10 років; Можливість збору даних по роботі СЕС через API інтерфейс
</t>
  </si>
  <si>
    <t xml:space="preserve">Одноразовий виїзд для здійснення замірів та огляду обєкта.
</t>
  </si>
  <si>
    <t>Фактичний курс грн./дол. при оплаті по акту</t>
  </si>
  <si>
    <t>Монтаж та запуск в експлуатацію сонячних електростанції (СЕС) на власні потреби на будівлях АЗК АТ «Концерн Галнафтогаз»</t>
  </si>
  <si>
    <t>днів</t>
  </si>
  <si>
    <t>Модель інвертора</t>
  </si>
  <si>
    <t>Послуга</t>
  </si>
  <si>
    <t>Розцінки виконання робіт(послуг) в договірній ціні є кінцевими, включають в себе всі можливі затрати, в т.ч. заробітну плату працівників, експлуатацію машин та механізмів, матеріали, загальновиробничі, адміністративні витрати, інші витрати і т. ін.</t>
  </si>
  <si>
    <t>Тендерний курс на 16.02.2022</t>
  </si>
  <si>
    <t>Має бути передбачена система дистанційного онлайн моніторингу продуктивності СЕС. З можливістю отримання даних за годину, день, тиждень,місяць та рік</t>
  </si>
  <si>
    <t>Вимоги до пункту</t>
  </si>
  <si>
    <t>Опис пункту</t>
  </si>
  <si>
    <t>Примітка від замовника</t>
  </si>
  <si>
    <t>вказати виробника та прописати основні характеристики систем кріплення</t>
  </si>
  <si>
    <t>Зазначити марку та виробника кабельної продукції</t>
  </si>
  <si>
    <t>Чітко розписати комплектацію шафи з вказанням всього обладнання</t>
  </si>
  <si>
    <t>за 20 м.п.</t>
  </si>
  <si>
    <t>Тендерний курс USD</t>
  </si>
  <si>
    <t>Учасник тендеру заповнює інформацію лише на вкладках "Зведено" та "ДодатиДеталізацію"</t>
  </si>
  <si>
    <t>Матеріали і обладнання для під'єднання до е/е системи АЗК</t>
  </si>
  <si>
    <t xml:space="preserve">Матеріали і обладнання для під'єднання до заземлення системи АЗК </t>
  </si>
  <si>
    <t>Додатково вказати комплектацію окремих пунктів на вкладці "ДодатиДеталізацію"</t>
  </si>
  <si>
    <t>Планово</t>
  </si>
  <si>
    <t>схема монтажу панелей; (погоджується замовником)</t>
  </si>
  <si>
    <t>план-схема місця влаштування інвертора (для забезпечення інвертора інтернет мережею ІТ спеціалістами замовника)</t>
  </si>
  <si>
    <t>Після погодження електронної версії Підрядник направляє на адресу замовника 2 примірники друкованої версії разом із наступними документами:</t>
  </si>
  <si>
    <t>Технічний звіт по обстеженні АЗК</t>
  </si>
  <si>
    <t>Проектом (монтажними схемами)</t>
  </si>
  <si>
    <t>Виконавчі схеми</t>
  </si>
  <si>
    <t>Сертифікатами на використані матеріали</t>
  </si>
  <si>
    <t>Здача в експлуатацію</t>
  </si>
  <si>
    <t>однолінійна схема включення; (погоджується замовником інженером енергетиком)</t>
  </si>
  <si>
    <t>схема розподілу панелей в стрінгах; (погоджується замовником)</t>
  </si>
  <si>
    <t>Етап монтажу (на основі погоджених монтажних схем замовником):</t>
  </si>
  <si>
    <t>   Монтаж металоконструкцій</t>
  </si>
  <si>
    <t>   Монтаж панелей</t>
  </si>
  <si>
    <t>   Монтаж та пусконаладка інвертора</t>
  </si>
  <si>
    <t>   Після узгодження дані з відомості переносяться у Акт-Прийому передачі робіт, та електронно надсилається підрядником замовнику на перевірку.</t>
  </si>
  <si>
    <t>Короткою інструкцією щодо експлуатації СЕС на зазначеній в акті АЗК (інструкція повинна містити інформацію в яких положеннях інвертор 
чи інше обладнання знаходиться у аварії чи відімкнене, в яких випадках СЕС необхідно відключати та який автомат/
в разі неможливості підключення СЕС на групи що не забезпечені гарантованим живленням дизельгенератором).</t>
  </si>
  <si>
    <t>Коротка опис-схема процесу будівництва СЕС.</t>
  </si>
  <si>
    <t>Етап проектування (до цього етапу приступаємо тільки після задовільного висновку з обстеження несучих конструкцій АЗК,
 тобто в разі відсутності потреби у додаткових підсиленнях) розробляється:</t>
  </si>
  <si>
    <t>Підписання акту та оплата/доплата відносно проавансованої частини.</t>
  </si>
  <si>
    <t>По етапу монтажу робиться додатково фотофіксація наступних складових:</t>
  </si>
  <si>
    <t xml:space="preserve"> процесу монтажу металоконструкцій;</t>
  </si>
  <si>
    <t xml:space="preserve"> процесу монтажу панелей </t>
  </si>
  <si>
    <t xml:space="preserve"> процесу монтажу інвертора та розкрючення;</t>
  </si>
  <si>
    <t xml:space="preserve"> місце влаштування котушок індуктивності;</t>
  </si>
  <si>
    <t xml:space="preserve"> діючу однолінійну схему;</t>
  </si>
  <si>
    <t xml:space="preserve"> місце підключення СЕС</t>
  </si>
  <si>
    <t>Етап обстежень: обстежити АЗК, зняти всі необхідні заміри, електричну схему головного розподільчого щита АЗК, 
надати експертний звіт про можливість монтажу СЕС та потужність.</t>
  </si>
  <si>
    <t>Вартості по позиціях, які мають кількісну складову (панелі, кріплення на панель, м.п. кабелів) і залежать від потужності СЕС враховуватимуться по факту виконаних робіт, по вказаних в тендерній пропозиції розцінках.</t>
  </si>
  <si>
    <t>   Перевірка Замовником, з представником Підрядника відповідності виконаних робіт погодженим схемам (фіксується підписанням відомості матеріалів та робіт)</t>
  </si>
  <si>
    <t xml:space="preserve"> за умови наявності на АЗК ресторану обов’язково фіксацію підключення ресторану та АЗС на КТП (для встановлення чи послідовне чи паралельне)</t>
  </si>
  <si>
    <t>Зазначити марку та виробника кабельної продукції, та розцінки в залежності від січення (яке залежить від потужності СЕС )</t>
  </si>
  <si>
    <t>Будівництво та ввід в експлуатацію дахових сонячних електричних станцій (СЕС) під власні потреби на автозаправних комплексах АТ "Концерн Галнафтогаз".</t>
  </si>
  <si>
    <t>Вказати вартість кабелів ВВГнг січенням 5*10мм2, 5*16 мм2, 5*25 мм2 та 5*35 мм2. Січення для кожної СЕС буде використовуватись виходячи із її потужності. Прокладання по покрівлі в металевій гофро трубі зверху прорезиновій Д=50мм - 10м.п. Прокладання в середині операторної у декоративному пластиковому коробі - 20м.п Розхідні матеріали для прокладання кабелю (кліпси для гофри з дюблями, термоусадка, кабельні стяжи стійкі до ультрафіолету, тощо)</t>
  </si>
  <si>
    <r>
      <t xml:space="preserve">Для забезпечення максимальної антикорозійної стійкості конструктивні елементи систем закріплення ФЕМ повинні бути виготовлені з вуглецевої сталі в гарячецинковому/холодному покритті з товщиною не менше 25 мкм або з цинк-ламельним покриттям, нержавіючої сталі, анодованого алюмінієвого сплаву.
Збереження стану несучої здатності та стану покрівлі до початку виконання робіт за умови здачі обслуговуючій компанії після завершення робіт (герметичність та цілісність покриття). Січення  всіх підібраних  профілів ( не залежно від типу конструкції) повинно забезпечувати допустимі прогини для даного типу матеріалу (без зазнання критичних деформацій) з врахуванням всіх можливих навантажень. 
Системи закріплення фотоелектричних модулів повинні мати мінімально можливий вплив на дах об'єктів, Порушення цілісності покрівельних матеріалів на пласких дахах не допускаєтся. На скатних дахах (сендвіч панелей) допускається порушення цілісності покрівельного матеріалу з подальшою герметизацією отворів. Виконання кріплень повинно бути максимально надійним. 
Для баластової системи використовувати підставки під баласти товщиною не менше 5 мм та розміром на 10 см більше від розміру кожної сторони застосованого баласта. Столи баластної системи повинні зєднуватись в єдину систему для уникнення можливого зміщення при сприйнятті вітрових навантажень, а також обов'язково має бути наявність вітрових спойлерів на всю довжину столів. </t>
    </r>
    <r>
      <rPr>
        <b/>
        <sz val="10"/>
        <color rgb="FFFF0000"/>
        <rFont val="Arial"/>
        <family val="2"/>
        <charset val="204"/>
      </rPr>
      <t>Конструкція обов'язково уточнюється проектом та погоджується Замовником.</t>
    </r>
    <r>
      <rPr>
        <sz val="10"/>
        <rFont val="Arial"/>
        <family val="2"/>
        <charset val="204"/>
      </rPr>
      <t xml:space="preserve">
</t>
    </r>
    <r>
      <rPr>
        <b/>
        <sz val="10"/>
        <color rgb="FFFF0000"/>
        <rFont val="Arial"/>
        <family val="2"/>
        <charset val="204"/>
      </rPr>
      <t>Обов'язково кріпитись до несучих конструкцій, та повинні забезпечувати необхідний кут для панелей для максимальної генерації у період  березня-жовтня.</t>
    </r>
  </si>
  <si>
    <t xml:space="preserve">Повинні бути запропоновані найбільш оптимальні технічні рішення виходячи з наявної конфігурації дахів балансу енергоспоживання / генерації, 
з врахуванням  відсутності затінень панелей, кута кахилу панелей на баластній системі в межах 15-25 градусів, а на металопрофільній покрівлі кута кахилу панелей  межах 25-30 градусів. Вибір кутів нахилу та розкладки панелей узгоджуються із замовником по кожній локації окремо, з врахуванням планової генереації (модельні розрахунки надає виконавець при подачі на погодження розкладок), фактичних розмірів об'єктів, тощо. </t>
  </si>
  <si>
    <t>Для забезпечення максимальної антикорозійної стійкості конструктивні елементи систем закріплення ФЕМ повинні бути виготовлені з вуглецевої сталі в гарячецинковому/холодному покритті з товщиною не менше 25 мкм або з цинк-ламельним покриттям, нержавіючої сталі, анодованого алюмінієвого сплаву.
Збереження стану несучої здатності та стану покрівлі до початку виконання робіт за умови здачі обслуговуючій компанії після завершення робіт (герметичність та цілісність покриття). Січення  всіх підібраних  профілів ( не залежно від типу конструкції) повинно забезпечувати допустимі прогини для даного типу матеріалу (без зазнання критичних деформацій) з врахуванням всіх можливих навантажень. 
Системи закріплення фотоелектричних модулів повинні мати мінімально можливий вплив на дах об'єктів, Порушення цілісності покрівельних матеріалів на пласких дахах не допускаєтся. На скатних дахах (сендвіч панелей) допускається порушення цілісності покрівельного матеріалу з подальшою герметизацією отворів. Виконання кріплень повинно бути максимально надійним. 
Для баластової системи використовувати підставки під баласти товщиною не менше 5 мм та розміром на 10 см більше від розміру кожної сторони застосованого баласта. Столи баластної системи повинні зєднуватись в єдину систему для уникнення можливого зміщення при сприйнятті вітрових навантажень.</t>
  </si>
  <si>
    <t>Інвертора не нижче М4+Huawei Smart Wi-Fi Dongle</t>
  </si>
  <si>
    <t>SUN2000-12KTL-M4</t>
  </si>
  <si>
    <t>SUN2000-15KTL-M4</t>
  </si>
  <si>
    <t>SUN2000-17KTL-M4</t>
  </si>
  <si>
    <t>SUN2000-20KTL-M4</t>
  </si>
  <si>
    <t>SUN2000-30KTL-M4</t>
  </si>
  <si>
    <t>SUN2000-40KTL-M4</t>
  </si>
  <si>
    <t>SUN2000-50KTL-M4</t>
  </si>
  <si>
    <t>Вимоги по інверторах не нижче М4+Huawei Smart Wi-Fi Dongle або Huawei Smart Logger 3000.</t>
  </si>
  <si>
    <t>На аркуші "Зведено"  вказано попередній перелік АЗС та потужності СЕС.</t>
  </si>
  <si>
    <t xml:space="preserve">Планові потужності по АЗС вибрані з врахуванням споживання електроенергії  кожної АЗС та попередньо розглянуто фізична можливість розміщення такої потужності. Остаточне рішення щодо реалізації об'єкту приймається після отримання висновку щодо можливості розміщення СЕС на даху (після визначення несучої здатності покрівельних конструкцій), фактично можливої потужності СЕС,  оптимальної з врахування можливого затінення від навколишніх об'єктів  та надання письмових висновків щодо можливості розміщення СЕС на даху. </t>
  </si>
  <si>
    <t>Основні вимоги по структурі кріплення залежно від типу покрівлі вказані на аркуші "ТехІнфо", по замовчуванню всі панелі планово слід старатися розміщати на навісах, при потребі використання на м'якій покрівлі, слід переносити мінімально один повний стрінг.</t>
  </si>
  <si>
    <t>Хмельницький</t>
  </si>
  <si>
    <t>Рівне</t>
  </si>
  <si>
    <t>SUN2000-36KTL-M4</t>
  </si>
  <si>
    <t xml:space="preserve">Сонячні панелі  повинні бути  із списку першої десятки виробників Tier 1 та потужністю не менше 560 Вт. Також можна буде пропонувати іншу потужність модулів та кількість (по факту обстеження кожного об'єкта), але загальна електрична потужність повинна не перевищувати 15 %  перенавантаження на інвертор. </t>
  </si>
  <si>
    <t>НБУ 07.01.2025</t>
  </si>
  <si>
    <t>Тендерний курс на 07.01.2025</t>
  </si>
  <si>
    <t>АЗС_22</t>
  </si>
  <si>
    <t>АЗС_29</t>
  </si>
  <si>
    <t>АЗС_41</t>
  </si>
  <si>
    <t>АЗС_43</t>
  </si>
  <si>
    <t>згідно деталізації</t>
  </si>
  <si>
    <t>АЗС_02</t>
  </si>
  <si>
    <t>м. Рівне, вул. Василя Червонія, 18</t>
  </si>
  <si>
    <t>АЗС_100</t>
  </si>
  <si>
    <t>Тернопіль</t>
  </si>
  <si>
    <t>Тернопільський р-н, с. Гаї-Гречинські, вул. Львівська,9</t>
  </si>
  <si>
    <t>АЗС_13</t>
  </si>
  <si>
    <t>Волинь</t>
  </si>
  <si>
    <t>м. Луцьк, вул. Конякіна, 16 Д</t>
  </si>
  <si>
    <t>Ковельський р-н, с. Вишнів, вул. Київська, 20</t>
  </si>
  <si>
    <t>Львів</t>
  </si>
  <si>
    <t>Стрийський р-н, с. П'ятничани, вул. Львівська, 10 А</t>
  </si>
  <si>
    <t>АЗС_26</t>
  </si>
  <si>
    <t>Стрийський р-н, м. Жидачів, вул. Данила Галицького, 70</t>
  </si>
  <si>
    <t>м. Винники, вул. Галицька, 3 Б</t>
  </si>
  <si>
    <t>м. Луцьк, вул. Карпенка-Карого, 5</t>
  </si>
  <si>
    <t>АЗС_36</t>
  </si>
  <si>
    <t>Самбірський р-н, с/р Бабинська, автодорога Мостиська-Самбір, 34км+850м</t>
  </si>
  <si>
    <t>м. Самбір, вул. Шевченка, 41 А</t>
  </si>
  <si>
    <t>Івано-Франківськ</t>
  </si>
  <si>
    <t>м. Болехів, вул. Галицького Данила, 111</t>
  </si>
  <si>
    <t>АЗС_44</t>
  </si>
  <si>
    <t>м. Нововолинськ, вул. Василя Стефаника, 2</t>
  </si>
  <si>
    <t>АЗС_47</t>
  </si>
  <si>
    <t>Шептицький р-н, м. Великі Мости, вул. Львіська, 1 Б</t>
  </si>
  <si>
    <t>АЗС_52</t>
  </si>
  <si>
    <t>м. Володимир, вул. Устилузька, 91-А</t>
  </si>
  <si>
    <t>АЗС_55</t>
  </si>
  <si>
    <t>м. Борислав, селище Східниця, вул. Кропивницька,  24</t>
  </si>
  <si>
    <t>АЗС_75</t>
  </si>
  <si>
    <t>м. Тернопіль, вул. Степана Будного, 40</t>
  </si>
  <si>
    <t>АЗС_78</t>
  </si>
  <si>
    <t>м. Тернопіль, вул. Микулинецька, 40 Б</t>
  </si>
  <si>
    <t>АЗС_80</t>
  </si>
  <si>
    <t>Хмельницький р-н, м. Волочиськ, вул. Незалежності, 6а</t>
  </si>
  <si>
    <t>40610200_РФ_02_Рівне_Червонія</t>
  </si>
  <si>
    <t>40168100_ЛФ_100_Гаї_Гречинські</t>
  </si>
  <si>
    <t>60860800_РФ_22_Вишнів</t>
  </si>
  <si>
    <t>40112500_ЛФ_25_Пятничани</t>
  </si>
  <si>
    <t>40112600_ЛФ_26_Жидачів</t>
  </si>
  <si>
    <t>40112900_ЛФ_29_Винники</t>
  </si>
  <si>
    <t>40662500_РФ_29_Луцьк_КарпенкаКарого</t>
  </si>
  <si>
    <t>40113600_ЛФ_36_Самбір_Бабинська</t>
  </si>
  <si>
    <t>40114100_ЛФ_41_Самбір_Шевченка</t>
  </si>
  <si>
    <t>40564300_ІФФ_43_Болехів</t>
  </si>
  <si>
    <t>40114400_РФ_44_Нововолинськ</t>
  </si>
  <si>
    <t>40114700_ЛФ_47_Великі_Мости</t>
  </si>
  <si>
    <t>40115200_РФ_52_Володимир</t>
  </si>
  <si>
    <t>40115500_ЛФ_55_Східниця</t>
  </si>
  <si>
    <t>40117500_ЛФ_75_Тернопіль_Будного</t>
  </si>
  <si>
    <t>40117800_ЛФ_78_Тернопіль_Микуленецька</t>
  </si>
  <si>
    <t>40118000_ЛФ_80_Волочиськ</t>
  </si>
  <si>
    <t>40611300_РФ_13_Луцьк_Конякіна</t>
  </si>
  <si>
    <t>АТП</t>
  </si>
  <si>
    <t>м. Львів, вул. Богданівська, 15а</t>
  </si>
  <si>
    <t>АТК_Львів_Богданівська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</si>
</sst>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0_ ;[Red]\-#,##0\ "/>
    <numFmt numFmtId="167" formatCode="#,##0.0"/>
    <numFmt numFmtId="168" formatCode="#,##0.0000"/>
    <numFmt numFmtId="169" formatCode="0.00000"/>
  </numFmts>
  <fonts count="59">
    <font>
      <sz val="8"/>
      <name val="Arial"/>
      <family val="2"/>
      <charset val="204"/>
    </font>
    <font>
      <sz val="11"/>
      <color theme="1"/>
      <name val="Calibri"/>
      <family val="2"/>
      <charset val="204"/>
      <scheme val="minor"/>
    </font>
    <font>
      <sz val="11"/>
      <color theme="1"/>
      <name val="Calibri"/>
      <family val="2"/>
      <charset val="204"/>
      <scheme val="minor"/>
    </font>
    <font>
      <sz val="10"/>
      <name val="Arial"/>
      <family val="2"/>
      <charset val="204"/>
    </font>
    <font>
      <b/>
      <sz val="12"/>
      <name val="Arial"/>
      <family val="2"/>
      <charset val="204"/>
    </font>
    <font>
      <b/>
      <sz val="10"/>
      <name val="Arial"/>
      <family val="2"/>
      <charset val="204"/>
    </font>
    <font>
      <b/>
      <sz val="11"/>
      <name val="Arial"/>
      <family val="2"/>
      <charset val="204"/>
    </font>
    <font>
      <sz val="10"/>
      <name val="Arial Cyr"/>
      <family val="2"/>
      <charset val="204"/>
    </font>
    <font>
      <sz val="9"/>
      <name val="Arial"/>
      <family val="2"/>
      <charset val="204"/>
    </font>
    <font>
      <sz val="10"/>
      <name val="Arial Cyr"/>
      <charset val="204"/>
    </font>
    <font>
      <u/>
      <sz val="10"/>
      <color indexed="12"/>
      <name val="Arial Cyr"/>
      <charset val="204"/>
    </font>
    <font>
      <sz val="8"/>
      <name val="Arial"/>
      <family val="2"/>
      <charset val="204"/>
    </font>
    <font>
      <sz val="11"/>
      <color theme="1"/>
      <name val="Calibri"/>
      <family val="2"/>
      <charset val="204"/>
      <scheme val="minor"/>
    </font>
    <font>
      <u/>
      <sz val="8"/>
      <color theme="10"/>
      <name val="Arial"/>
      <family val="2"/>
      <charset val="204"/>
    </font>
    <font>
      <sz val="11"/>
      <color rgb="FF000000"/>
      <name val="Calibri"/>
      <family val="2"/>
      <charset val="1"/>
    </font>
    <font>
      <sz val="11"/>
      <color theme="1"/>
      <name val="Calibri"/>
      <family val="2"/>
      <scheme val="minor"/>
    </font>
    <font>
      <b/>
      <sz val="10"/>
      <color rgb="FFFF0000"/>
      <name val="Arial"/>
      <family val="2"/>
      <charset val="204"/>
    </font>
    <font>
      <b/>
      <sz val="9"/>
      <color rgb="FFFF0000"/>
      <name val="Arial"/>
      <family val="2"/>
      <charset val="204"/>
    </font>
    <font>
      <sz val="11"/>
      <color theme="1"/>
      <name val="Arial"/>
      <family val="2"/>
      <charset val="204"/>
    </font>
    <font>
      <b/>
      <sz val="11"/>
      <color theme="1"/>
      <name val="Arial"/>
      <family val="2"/>
      <charset val="204"/>
    </font>
    <font>
      <sz val="11"/>
      <name val="Arial"/>
      <family val="2"/>
      <charset val="204"/>
    </font>
    <font>
      <b/>
      <sz val="11"/>
      <color rgb="FFFF0000"/>
      <name val="Arial"/>
      <family val="2"/>
      <charset val="204"/>
    </font>
    <font>
      <u/>
      <sz val="14"/>
      <color theme="1"/>
      <name val="Arial"/>
      <family val="2"/>
      <charset val="204"/>
    </font>
    <font>
      <u/>
      <sz val="14"/>
      <name val="Arial"/>
      <family val="2"/>
      <charset val="204"/>
    </font>
    <font>
      <sz val="14"/>
      <name val="Arial"/>
      <family val="2"/>
      <charset val="204"/>
    </font>
    <font>
      <u/>
      <sz val="12"/>
      <color theme="10"/>
      <name val="Arial"/>
      <family val="2"/>
      <charset val="204"/>
    </font>
    <font>
      <b/>
      <sz val="11"/>
      <color rgb="FFFF0000"/>
      <name val="Calibri"/>
      <family val="2"/>
      <charset val="204"/>
      <scheme val="minor"/>
    </font>
    <font>
      <b/>
      <sz val="8"/>
      <name val="Arial Cyr"/>
      <charset val="204"/>
    </font>
    <font>
      <b/>
      <sz val="10"/>
      <name val="Arial Cyr"/>
      <charset val="204"/>
    </font>
    <font>
      <sz val="11"/>
      <name val="Arial Cyr"/>
      <charset val="204"/>
    </font>
    <font>
      <i/>
      <sz val="8"/>
      <name val="Arial Cyr"/>
      <charset val="204"/>
    </font>
    <font>
      <sz val="8"/>
      <name val="Arial Cyr"/>
      <charset val="204"/>
    </font>
    <font>
      <b/>
      <i/>
      <sz val="14"/>
      <name val="Arial Cyr"/>
      <charset val="204"/>
    </font>
    <font>
      <b/>
      <i/>
      <sz val="14"/>
      <color theme="0"/>
      <name val="Arial Cyr"/>
      <charset val="204"/>
    </font>
    <font>
      <b/>
      <sz val="10"/>
      <color theme="0"/>
      <name val="Arial Cyr"/>
      <charset val="204"/>
    </font>
    <font>
      <b/>
      <sz val="12"/>
      <name val="Arial Cyr"/>
      <charset val="204"/>
    </font>
    <font>
      <sz val="11"/>
      <name val="Times New Roman"/>
      <family val="1"/>
      <charset val="204"/>
    </font>
    <font>
      <b/>
      <sz val="11"/>
      <name val="Arial Cyr"/>
      <charset val="204"/>
    </font>
    <font>
      <sz val="12"/>
      <name val="Arial"/>
      <family val="2"/>
      <charset val="204"/>
    </font>
    <font>
      <b/>
      <sz val="14"/>
      <name val="Arial"/>
      <family val="2"/>
      <charset val="204"/>
    </font>
    <font>
      <b/>
      <sz val="8"/>
      <name val="Arial"/>
      <family val="2"/>
      <charset val="204"/>
    </font>
    <font>
      <sz val="7"/>
      <name val="Arial"/>
      <family val="2"/>
      <charset val="204"/>
    </font>
    <font>
      <sz val="10"/>
      <name val="Arial"/>
      <family val="2"/>
    </font>
    <font>
      <sz val="8"/>
      <name val="Arial"/>
      <family val="2"/>
    </font>
    <font>
      <sz val="11"/>
      <name val="Arial"/>
      <family val="2"/>
    </font>
    <font>
      <sz val="7"/>
      <name val="Arial"/>
      <family val="2"/>
    </font>
    <font>
      <vertAlign val="superscript"/>
      <sz val="4.5"/>
      <name val="Arial"/>
      <family val="2"/>
    </font>
    <font>
      <sz val="7"/>
      <name val="kiloji - P"/>
    </font>
    <font>
      <sz val="7"/>
      <name val="Arial Black"/>
      <family val="2"/>
    </font>
    <font>
      <b/>
      <sz val="9"/>
      <color theme="0"/>
      <name val="Calibri"/>
      <family val="2"/>
      <charset val="204"/>
      <scheme val="minor"/>
    </font>
    <font>
      <b/>
      <sz val="8"/>
      <color rgb="FFFF0000"/>
      <name val="Arial"/>
      <family val="2"/>
      <charset val="204"/>
    </font>
    <font>
      <u/>
      <sz val="9"/>
      <color theme="1"/>
      <name val="Arial"/>
      <family val="2"/>
      <charset val="204"/>
    </font>
    <font>
      <u/>
      <sz val="9"/>
      <name val="Arial"/>
      <family val="2"/>
      <charset val="204"/>
    </font>
    <font>
      <b/>
      <sz val="9"/>
      <color theme="1"/>
      <name val="Arial"/>
      <family val="2"/>
      <charset val="204"/>
    </font>
    <font>
      <sz val="9"/>
      <color theme="1"/>
      <name val="Arial"/>
      <family val="2"/>
      <charset val="204"/>
    </font>
    <font>
      <u/>
      <sz val="9"/>
      <color theme="10"/>
      <name val="Arial"/>
      <family val="2"/>
      <charset val="204"/>
    </font>
    <font>
      <sz val="9"/>
      <color theme="1"/>
      <name val="Calibri"/>
      <family val="2"/>
      <scheme val="minor"/>
    </font>
    <font>
      <sz val="11"/>
      <name val="Calibri"/>
      <family val="2"/>
      <charset val="204"/>
    </font>
    <font>
      <b/>
      <sz val="11"/>
      <name val="Calibri"/>
      <family val="2"/>
      <charset val="204"/>
    </font>
  </fonts>
  <fills count="12">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indexed="9"/>
        <bgColor indexed="64"/>
      </patternFill>
    </fill>
    <fill>
      <patternFill patternType="solid">
        <fgColor rgb="FFFFFF00"/>
        <bgColor indexed="64"/>
      </patternFill>
    </fill>
    <fill>
      <patternFill patternType="solid">
        <fgColor rgb="FFEAF1F7"/>
      </patternFill>
    </fill>
    <fill>
      <patternFill patternType="solid">
        <fgColor rgb="FFF1F5F9"/>
      </patternFill>
    </fill>
    <fill>
      <patternFill patternType="solid">
        <fgColor rgb="FF4C5B66"/>
        <bgColor indexed="64"/>
      </patternFill>
    </fill>
    <fill>
      <patternFill patternType="solid">
        <fgColor theme="0" tint="-0.249977111117893"/>
        <bgColor indexed="64"/>
      </patternFill>
    </fill>
    <fill>
      <patternFill patternType="solid">
        <fgColor rgb="FF92D050"/>
        <bgColor indexed="64"/>
      </patternFill>
    </fill>
    <fill>
      <patternFill patternType="solid">
        <fgColor theme="6" tint="-0.249977111117893"/>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rgb="FFC6D5DF"/>
      </right>
      <top style="thin">
        <color rgb="FFD1E1EC"/>
      </top>
      <bottom/>
      <diagonal/>
    </border>
    <border>
      <left style="thin">
        <color rgb="FFC6D5DF"/>
      </left>
      <right/>
      <top style="thin">
        <color rgb="FFD1E1EC"/>
      </top>
      <bottom/>
      <diagonal/>
    </border>
    <border>
      <left/>
      <right/>
      <top style="thin">
        <color rgb="FFD1E1EC"/>
      </top>
      <bottom/>
      <diagonal/>
    </border>
    <border>
      <left/>
      <right style="thin">
        <color rgb="FFD1E1EC"/>
      </right>
      <top/>
      <bottom style="thin">
        <color rgb="FFEAF1F7"/>
      </bottom>
      <diagonal/>
    </border>
    <border>
      <left style="thin">
        <color rgb="FFD1E1EC"/>
      </left>
      <right/>
      <top/>
      <bottom style="thin">
        <color rgb="FFEAF1F7"/>
      </bottom>
      <diagonal/>
    </border>
    <border>
      <left/>
      <right/>
      <top/>
      <bottom style="thin">
        <color rgb="FFEAF1F7"/>
      </bottom>
      <diagonal/>
    </border>
    <border>
      <left/>
      <right style="thin">
        <color rgb="FFD1E1EC"/>
      </right>
      <top style="thin">
        <color rgb="FFEAF1F7"/>
      </top>
      <bottom style="thin">
        <color rgb="FFEAF1F7"/>
      </bottom>
      <diagonal/>
    </border>
    <border>
      <left style="thin">
        <color rgb="FFD1E1EC"/>
      </left>
      <right/>
      <top style="thin">
        <color rgb="FFEAF1F7"/>
      </top>
      <bottom style="thin">
        <color rgb="FFEAF1F7"/>
      </bottom>
      <diagonal/>
    </border>
    <border>
      <left/>
      <right/>
      <top style="thin">
        <color rgb="FFEAF1F7"/>
      </top>
      <bottom style="thin">
        <color rgb="FFEAF1F7"/>
      </bottom>
      <diagonal/>
    </border>
    <border>
      <left/>
      <right/>
      <top style="thin">
        <color rgb="FFEAF1F7"/>
      </top>
      <bottom/>
      <diagonal/>
    </border>
    <border>
      <left style="thin">
        <color rgb="FFD1E1EC"/>
      </left>
      <right style="thin">
        <color rgb="FFD1E1EC"/>
      </right>
      <top/>
      <bottom style="thin">
        <color rgb="FFEAF1F7"/>
      </bottom>
      <diagonal/>
    </border>
    <border>
      <left style="thin">
        <color rgb="FFD1E1EC"/>
      </left>
      <right style="thin">
        <color rgb="FFD1E1EC"/>
      </right>
      <top style="thin">
        <color rgb="FFEAF1F7"/>
      </top>
      <bottom style="thin">
        <color rgb="FFEAF1F7"/>
      </bottom>
      <diagonal/>
    </border>
    <border>
      <left/>
      <right style="thin">
        <color rgb="FFD1E1EC"/>
      </right>
      <top style="thin">
        <color rgb="FFEAF1F7"/>
      </top>
      <bottom style="thin">
        <color rgb="FFD1E1EC"/>
      </bottom>
      <diagonal/>
    </border>
    <border>
      <left/>
      <right/>
      <top style="thin">
        <color rgb="FFEAF1F7"/>
      </top>
      <bottom style="thin">
        <color rgb="FFD1E1EC"/>
      </bottom>
      <diagonal/>
    </border>
    <border>
      <left style="thin">
        <color rgb="FFD1E1EC"/>
      </left>
      <right/>
      <top style="thin">
        <color rgb="FFEAF1F7"/>
      </top>
      <bottom style="thin">
        <color rgb="FFD1E1EC"/>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bottom/>
      <diagonal/>
    </border>
    <border>
      <left style="thin">
        <color rgb="FFC6D5DF"/>
      </left>
      <right/>
      <top style="thin">
        <color rgb="FFD1E1EC"/>
      </top>
      <bottom style="medium">
        <color indexed="64"/>
      </bottom>
      <diagonal/>
    </border>
  </borders>
  <cellStyleXfs count="14">
    <xf numFmtId="0" fontId="0" fillId="0" borderId="0">
      <alignment horizontal="left"/>
    </xf>
    <xf numFmtId="0" fontId="7" fillId="0" borderId="0"/>
    <xf numFmtId="0" fontId="13" fillId="0" borderId="0" applyNumberFormat="0" applyFill="0" applyBorder="0" applyAlignment="0" applyProtection="0">
      <alignment horizontal="left"/>
    </xf>
    <xf numFmtId="0" fontId="10" fillId="0" borderId="0" applyNumberFormat="0" applyFill="0" applyBorder="0" applyAlignment="0" applyProtection="0">
      <alignment vertical="top"/>
      <protection locked="0"/>
    </xf>
    <xf numFmtId="0" fontId="14" fillId="0" borderId="0"/>
    <xf numFmtId="0" fontId="9" fillId="0" borderId="0"/>
    <xf numFmtId="0" fontId="15" fillId="0" borderId="0"/>
    <xf numFmtId="0" fontId="12" fillId="0" borderId="0"/>
    <xf numFmtId="0" fontId="12" fillId="0" borderId="0"/>
    <xf numFmtId="0" fontId="7" fillId="0" borderId="0"/>
    <xf numFmtId="0" fontId="2" fillId="0" borderId="0"/>
    <xf numFmtId="0" fontId="7" fillId="0" borderId="0"/>
    <xf numFmtId="0" fontId="7" fillId="0" borderId="0"/>
    <xf numFmtId="0" fontId="1" fillId="0" borderId="0"/>
  </cellStyleXfs>
  <cellXfs count="314">
    <xf numFmtId="0" fontId="0" fillId="0" borderId="0" xfId="0" applyAlignment="1"/>
    <xf numFmtId="0" fontId="0" fillId="0" borderId="0" xfId="0" applyAlignment="1">
      <alignment vertical="top"/>
    </xf>
    <xf numFmtId="0" fontId="3" fillId="0" borderId="0" xfId="0" applyFont="1" applyAlignment="1"/>
    <xf numFmtId="0" fontId="8" fillId="0" borderId="0" xfId="0" applyFont="1" applyAlignment="1"/>
    <xf numFmtId="0" fontId="8" fillId="0" borderId="0" xfId="0" applyFont="1" applyAlignment="1">
      <alignment wrapText="1"/>
    </xf>
    <xf numFmtId="0" fontId="16" fillId="0" borderId="0" xfId="0" applyFont="1" applyAlignment="1">
      <alignment horizontal="center" vertical="center"/>
    </xf>
    <xf numFmtId="0" fontId="15" fillId="0" borderId="0" xfId="6"/>
    <xf numFmtId="0" fontId="18" fillId="0" borderId="0" xfId="6" applyFont="1"/>
    <xf numFmtId="0" fontId="19" fillId="0" borderId="0" xfId="6" applyFont="1"/>
    <xf numFmtId="0" fontId="20" fillId="0" borderId="0" xfId="6" applyFont="1"/>
    <xf numFmtId="0" fontId="18" fillId="0" borderId="0" xfId="10" applyFont="1" applyAlignment="1">
      <alignment vertical="center"/>
    </xf>
    <xf numFmtId="0" fontId="18" fillId="0" borderId="0" xfId="5" applyFont="1" applyAlignment="1">
      <alignment vertical="center"/>
    </xf>
    <xf numFmtId="0" fontId="18" fillId="0" borderId="0" xfId="9" applyFont="1" applyAlignment="1">
      <alignment vertical="center"/>
    </xf>
    <xf numFmtId="0" fontId="20" fillId="0" borderId="0" xfId="9" applyFont="1" applyAlignment="1">
      <alignment vertical="center"/>
    </xf>
    <xf numFmtId="0" fontId="21" fillId="0" borderId="0" xfId="6" applyFont="1" applyAlignment="1">
      <alignment horizontal="left"/>
    </xf>
    <xf numFmtId="0" fontId="22" fillId="3" borderId="0" xfId="6" applyFont="1" applyFill="1"/>
    <xf numFmtId="0" fontId="23" fillId="3" borderId="0" xfId="6" applyFont="1" applyFill="1"/>
    <xf numFmtId="0" fontId="21" fillId="0" borderId="0" xfId="9" applyFont="1" applyAlignment="1">
      <alignment vertical="center"/>
    </xf>
    <xf numFmtId="0" fontId="13" fillId="0" borderId="0" xfId="2" applyAlignment="1"/>
    <xf numFmtId="0" fontId="24" fillId="0" borderId="0" xfId="6" applyFont="1"/>
    <xf numFmtId="0" fontId="25" fillId="0" borderId="0" xfId="2" applyFont="1" applyAlignment="1"/>
    <xf numFmtId="0" fontId="18" fillId="2" borderId="1" xfId="9" applyFont="1" applyFill="1" applyBorder="1" applyAlignment="1">
      <alignment horizontal="center" vertical="center"/>
    </xf>
    <xf numFmtId="0" fontId="26" fillId="0" borderId="0" xfId="6" applyFont="1"/>
    <xf numFmtId="1" fontId="0" fillId="0" borderId="0" xfId="0" applyNumberFormat="1" applyAlignment="1"/>
    <xf numFmtId="0" fontId="30" fillId="0" borderId="0" xfId="0" applyFont="1" applyAlignment="1">
      <alignment vertical="center"/>
    </xf>
    <xf numFmtId="49" fontId="27" fillId="0" borderId="7" xfId="0" applyNumberFormat="1" applyFont="1" applyBorder="1" applyAlignment="1">
      <alignment horizontal="center" vertical="center"/>
    </xf>
    <xf numFmtId="0" fontId="27" fillId="0" borderId="8" xfId="0" applyFont="1" applyBorder="1" applyAlignment="1">
      <alignment horizontal="center" vertical="center" wrapText="1"/>
    </xf>
    <xf numFmtId="0" fontId="27" fillId="0" borderId="8" xfId="0" applyFont="1" applyBorder="1" applyAlignment="1">
      <alignment horizontal="center" vertical="center"/>
    </xf>
    <xf numFmtId="0" fontId="28" fillId="0" borderId="9" xfId="0" applyFont="1" applyBorder="1" applyAlignment="1">
      <alignment horizontal="center" vertical="center" wrapText="1"/>
    </xf>
    <xf numFmtId="49" fontId="31" fillId="0" borderId="0" xfId="0" applyNumberFormat="1" applyFont="1" applyAlignment="1">
      <alignment horizontal="center" vertical="center"/>
    </xf>
    <xf numFmtId="0" fontId="31" fillId="0" borderId="0" xfId="0" applyFont="1" applyAlignment="1">
      <alignment vertical="center"/>
    </xf>
    <xf numFmtId="0" fontId="0" fillId="0" borderId="0" xfId="0" applyAlignment="1">
      <alignment vertical="center"/>
    </xf>
    <xf numFmtId="0" fontId="9" fillId="0" borderId="0" xfId="0" applyFont="1" applyAlignment="1">
      <alignment vertical="center" wrapText="1"/>
    </xf>
    <xf numFmtId="0" fontId="32" fillId="0" borderId="0" xfId="0" applyFont="1" applyAlignment="1">
      <alignment vertical="center"/>
    </xf>
    <xf numFmtId="3" fontId="33" fillId="0" borderId="0" xfId="0" applyNumberFormat="1" applyFont="1" applyAlignment="1">
      <alignment horizontal="center" vertical="center" wrapText="1"/>
    </xf>
    <xf numFmtId="0" fontId="34" fillId="0" borderId="0" xfId="0" applyFont="1" applyAlignment="1">
      <alignment vertical="center" wrapText="1"/>
    </xf>
    <xf numFmtId="4" fontId="32" fillId="0" borderId="0" xfId="0" applyNumberFormat="1" applyFont="1" applyAlignment="1">
      <alignment vertical="center"/>
    </xf>
    <xf numFmtId="0" fontId="35" fillId="0" borderId="0" xfId="0" applyFont="1" applyAlignment="1">
      <alignment vertical="center"/>
    </xf>
    <xf numFmtId="3" fontId="29" fillId="4" borderId="0" xfId="0" applyNumberFormat="1" applyFont="1" applyFill="1" applyAlignment="1">
      <alignment horizontal="left" vertical="center" wrapText="1"/>
    </xf>
    <xf numFmtId="2" fontId="36" fillId="0" borderId="0" xfId="0" applyNumberFormat="1" applyFont="1" applyAlignment="1">
      <alignment horizontal="center" vertical="center"/>
    </xf>
    <xf numFmtId="0" fontId="27" fillId="0" borderId="7" xfId="0" applyFont="1" applyBorder="1" applyAlignment="1">
      <alignment horizontal="center" vertical="center" wrapText="1"/>
    </xf>
    <xf numFmtId="0" fontId="27" fillId="0" borderId="9" xfId="0" applyFont="1" applyBorder="1" applyAlignment="1">
      <alignment horizontal="center" vertical="center" wrapText="1"/>
    </xf>
    <xf numFmtId="0" fontId="3" fillId="0" borderId="0" xfId="0" applyFont="1" applyAlignment="1">
      <alignment vertical="center" wrapText="1"/>
    </xf>
    <xf numFmtId="0" fontId="3" fillId="6" borderId="30" xfId="9" applyFont="1" applyFill="1" applyBorder="1" applyAlignment="1">
      <alignment horizontal="left" vertical="center" wrapText="1" indent="1"/>
    </xf>
    <xf numFmtId="0" fontId="41" fillId="0" borderId="33" xfId="9" applyFont="1" applyBorder="1" applyAlignment="1">
      <alignment horizontal="left" vertical="top" wrapText="1" indent="2"/>
    </xf>
    <xf numFmtId="0" fontId="41" fillId="0" borderId="36" xfId="9" applyFont="1" applyBorder="1" applyAlignment="1">
      <alignment horizontal="left" vertical="top" wrapText="1" indent="2"/>
    </xf>
    <xf numFmtId="165" fontId="41" fillId="0" borderId="40" xfId="9" applyNumberFormat="1" applyFont="1" applyBorder="1" applyAlignment="1">
      <alignment horizontal="center" vertical="center" wrapText="1"/>
    </xf>
    <xf numFmtId="0" fontId="41" fillId="0" borderId="40" xfId="9" applyFont="1" applyBorder="1" applyAlignment="1">
      <alignment horizontal="center" vertical="center" wrapText="1"/>
    </xf>
    <xf numFmtId="0" fontId="41" fillId="0" borderId="38" xfId="9" applyFont="1" applyBorder="1" applyAlignment="1">
      <alignment vertical="center" wrapText="1"/>
    </xf>
    <xf numFmtId="165" fontId="41" fillId="0" borderId="41" xfId="9" applyNumberFormat="1" applyFont="1" applyBorder="1" applyAlignment="1">
      <alignment horizontal="center" vertical="center" wrapText="1"/>
    </xf>
    <xf numFmtId="0" fontId="41" fillId="0" borderId="41" xfId="9" applyFont="1" applyBorder="1" applyAlignment="1">
      <alignment horizontal="center" vertical="center" wrapText="1"/>
    </xf>
    <xf numFmtId="165" fontId="41" fillId="0" borderId="37" xfId="9" applyNumberFormat="1" applyFont="1" applyBorder="1" applyAlignment="1">
      <alignment horizontal="center" vertical="center" wrapText="1"/>
    </xf>
    <xf numFmtId="0" fontId="41" fillId="0" borderId="41" xfId="9" applyFont="1" applyBorder="1" applyAlignment="1">
      <alignment horizontal="center" vertical="top" wrapText="1"/>
    </xf>
    <xf numFmtId="49" fontId="41" fillId="0" borderId="37" xfId="9" applyNumberFormat="1" applyFont="1" applyBorder="1" applyAlignment="1">
      <alignment horizontal="center" vertical="center" wrapText="1"/>
    </xf>
    <xf numFmtId="0" fontId="41" fillId="0" borderId="35" xfId="9" applyFont="1" applyBorder="1" applyAlignment="1">
      <alignment horizontal="left" vertical="top" wrapText="1" indent="2"/>
    </xf>
    <xf numFmtId="0" fontId="41" fillId="0" borderId="38" xfId="9" applyFont="1" applyBorder="1" applyAlignment="1">
      <alignment horizontal="left" vertical="top" wrapText="1" indent="2"/>
    </xf>
    <xf numFmtId="0" fontId="41" fillId="0" borderId="42" xfId="9" applyFont="1" applyBorder="1" applyAlignment="1">
      <alignment horizontal="left" vertical="top" wrapText="1" indent="2"/>
    </xf>
    <xf numFmtId="0" fontId="41" fillId="0" borderId="43" xfId="9" applyFont="1" applyBorder="1" applyAlignment="1">
      <alignment horizontal="left" vertical="top" wrapText="1" indent="2"/>
    </xf>
    <xf numFmtId="0" fontId="41" fillId="0" borderId="37" xfId="9" applyFont="1" applyBorder="1" applyAlignment="1">
      <alignment vertical="top" wrapText="1"/>
    </xf>
    <xf numFmtId="0" fontId="41" fillId="0" borderId="38" xfId="9" applyFont="1" applyBorder="1" applyAlignment="1">
      <alignment vertical="top" wrapText="1"/>
    </xf>
    <xf numFmtId="0" fontId="0" fillId="0" borderId="11" xfId="0" applyBorder="1" applyAlignment="1" applyProtection="1">
      <alignment horizontal="right" vertical="top"/>
      <protection locked="0"/>
    </xf>
    <xf numFmtId="0" fontId="3" fillId="0" borderId="46" xfId="0" applyFont="1" applyBorder="1" applyAlignment="1" applyProtection="1">
      <alignment horizontal="left" vertical="top" wrapText="1"/>
      <protection locked="0"/>
    </xf>
    <xf numFmtId="0" fontId="3" fillId="0" borderId="1" xfId="0" applyFont="1" applyBorder="1" applyAlignment="1" applyProtection="1">
      <alignment horizontal="center" vertical="center"/>
      <protection locked="0"/>
    </xf>
    <xf numFmtId="1" fontId="3" fillId="0" borderId="1" xfId="0" applyNumberFormat="1" applyFont="1" applyBorder="1" applyAlignment="1" applyProtection="1">
      <alignment horizontal="center" vertical="center"/>
      <protection locked="0"/>
    </xf>
    <xf numFmtId="4" fontId="3" fillId="0" borderId="1" xfId="0" applyNumberFormat="1" applyFont="1" applyBorder="1" applyAlignment="1" applyProtection="1">
      <alignment horizontal="center" vertical="center"/>
      <protection locked="0"/>
    </xf>
    <xf numFmtId="0" fontId="0" fillId="0" borderId="13" xfId="0" applyBorder="1" applyAlignment="1" applyProtection="1">
      <alignment horizontal="left" vertical="center" wrapText="1"/>
      <protection locked="0"/>
    </xf>
    <xf numFmtId="0" fontId="3" fillId="0" borderId="50" xfId="0" applyFont="1" applyBorder="1" applyAlignment="1" applyProtection="1">
      <alignment vertical="top" wrapText="1"/>
      <protection locked="0"/>
    </xf>
    <xf numFmtId="0" fontId="5" fillId="0" borderId="51" xfId="0" applyFont="1" applyBorder="1" applyAlignment="1" applyProtection="1">
      <alignment horizontal="center" wrapText="1"/>
      <protection locked="0"/>
    </xf>
    <xf numFmtId="0" fontId="3" fillId="0" borderId="57" xfId="0" applyFont="1" applyBorder="1" applyAlignment="1" applyProtection="1">
      <alignment vertical="top" wrapText="1"/>
      <protection locked="0"/>
    </xf>
    <xf numFmtId="0" fontId="5" fillId="0" borderId="0" xfId="0" applyFont="1" applyAlignment="1" applyProtection="1">
      <alignment horizontal="center" wrapText="1"/>
      <protection locked="0"/>
    </xf>
    <xf numFmtId="0" fontId="5" fillId="0" borderId="3" xfId="0" applyFont="1" applyBorder="1" applyAlignment="1" applyProtection="1">
      <alignment horizontal="center" wrapText="1"/>
      <protection locked="0"/>
    </xf>
    <xf numFmtId="0" fontId="3" fillId="0" borderId="57"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5" fillId="0" borderId="54" xfId="0" applyFont="1" applyBorder="1" applyAlignment="1" applyProtection="1">
      <alignment horizontal="center" vertical="center" wrapText="1"/>
      <protection locked="0"/>
    </xf>
    <xf numFmtId="0" fontId="5" fillId="0" borderId="51"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10" fontId="5" fillId="0" borderId="0" xfId="0" applyNumberFormat="1" applyFont="1" applyAlignment="1" applyProtection="1">
      <alignment horizontal="center" vertical="center" wrapText="1"/>
      <protection locked="0"/>
    </xf>
    <xf numFmtId="10" fontId="5" fillId="0" borderId="3" xfId="0" applyNumberFormat="1" applyFont="1" applyBorder="1" applyAlignment="1" applyProtection="1">
      <alignment horizontal="center" vertical="center" wrapText="1"/>
      <protection locked="0"/>
    </xf>
    <xf numFmtId="16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5" xfId="0" applyFont="1" applyBorder="1" applyAlignment="1" applyProtection="1">
      <alignment horizontal="center" vertical="center"/>
      <protection locked="0"/>
    </xf>
    <xf numFmtId="1" fontId="3" fillId="0" borderId="15" xfId="0" applyNumberFormat="1" applyFont="1" applyBorder="1" applyAlignment="1" applyProtection="1">
      <alignment horizontal="center" vertical="center"/>
      <protection locked="0"/>
    </xf>
    <xf numFmtId="4" fontId="3" fillId="0" borderId="15" xfId="0" applyNumberFormat="1" applyFont="1" applyBorder="1" applyAlignment="1" applyProtection="1">
      <alignment horizontal="center" vertical="center"/>
      <protection locked="0"/>
    </xf>
    <xf numFmtId="0" fontId="0" fillId="0" borderId="16" xfId="0" applyBorder="1" applyAlignment="1" applyProtection="1">
      <alignment horizontal="left" vertical="center" wrapText="1"/>
      <protection locked="0"/>
    </xf>
    <xf numFmtId="49" fontId="3" fillId="0" borderId="57" xfId="0" applyNumberFormat="1" applyFont="1" applyBorder="1" applyAlignment="1" applyProtection="1">
      <alignment vertical="top" wrapText="1"/>
      <protection locked="0"/>
    </xf>
    <xf numFmtId="166" fontId="0" fillId="0" borderId="0" xfId="11" applyNumberFormat="1" applyFont="1" applyAlignment="1">
      <alignment horizontal="right" vertical="center"/>
    </xf>
    <xf numFmtId="0" fontId="41" fillId="0" borderId="37" xfId="9" applyFont="1" applyBorder="1" applyAlignment="1">
      <alignment horizontal="center" vertical="center" wrapText="1"/>
    </xf>
    <xf numFmtId="0" fontId="41" fillId="0" borderId="34" xfId="9" applyFont="1" applyBorder="1" applyAlignment="1">
      <alignment horizontal="center" vertical="center" wrapText="1"/>
    </xf>
    <xf numFmtId="0" fontId="41" fillId="0" borderId="38" xfId="9" applyFont="1" applyBorder="1" applyAlignment="1">
      <alignment horizontal="center" vertical="center" wrapText="1"/>
    </xf>
    <xf numFmtId="0" fontId="0" fillId="0" borderId="67" xfId="11" applyFont="1" applyBorder="1" applyAlignment="1">
      <alignment horizontal="center"/>
    </xf>
    <xf numFmtId="0" fontId="0" fillId="0" borderId="67" xfId="11" applyFont="1" applyBorder="1"/>
    <xf numFmtId="0" fontId="0" fillId="0" borderId="67" xfId="11" applyFont="1" applyBorder="1" applyAlignment="1">
      <alignment horizontal="left"/>
    </xf>
    <xf numFmtId="166" fontId="0" fillId="0" borderId="67" xfId="11" applyNumberFormat="1" applyFont="1" applyBorder="1" applyAlignment="1">
      <alignment horizontal="center" vertical="center"/>
    </xf>
    <xf numFmtId="0" fontId="7" fillId="0" borderId="36" xfId="9" applyBorder="1" applyAlignment="1">
      <alignment horizontal="left" vertical="center" wrapText="1"/>
    </xf>
    <xf numFmtId="0" fontId="7" fillId="0" borderId="36" xfId="9" applyBorder="1" applyAlignment="1">
      <alignment horizontal="left" vertical="top" wrapText="1" indent="2"/>
    </xf>
    <xf numFmtId="0" fontId="7" fillId="0" borderId="0" xfId="9" applyAlignment="1">
      <alignment horizontal="left" vertical="top"/>
    </xf>
    <xf numFmtId="0" fontId="11" fillId="0" borderId="0" xfId="0" applyFont="1" applyAlignment="1"/>
    <xf numFmtId="0" fontId="41" fillId="0" borderId="33" xfId="9" applyFont="1" applyBorder="1" applyAlignment="1">
      <alignment horizontal="left" vertical="center" wrapText="1"/>
    </xf>
    <xf numFmtId="0" fontId="41" fillId="0" borderId="37" xfId="9" applyFont="1" applyBorder="1" applyAlignment="1">
      <alignment vertical="center" wrapText="1"/>
    </xf>
    <xf numFmtId="0" fontId="0" fillId="0" borderId="0" xfId="0" applyAlignment="1">
      <alignment wrapText="1"/>
    </xf>
    <xf numFmtId="17" fontId="49" fillId="8" borderId="66" xfId="12" applyNumberFormat="1" applyFont="1" applyFill="1" applyBorder="1" applyAlignment="1">
      <alignment horizontal="center" vertical="center" wrapText="1"/>
    </xf>
    <xf numFmtId="17" fontId="49" fillId="8" borderId="66" xfId="12" applyNumberFormat="1" applyFont="1" applyFill="1" applyBorder="1" applyAlignment="1">
      <alignment horizontal="center" vertical="top" wrapText="1"/>
    </xf>
    <xf numFmtId="167" fontId="0" fillId="0" borderId="67" xfId="11" applyNumberFormat="1" applyFont="1" applyBorder="1" applyAlignment="1">
      <alignment horizontal="center" vertical="center"/>
    </xf>
    <xf numFmtId="0" fontId="38" fillId="0" borderId="1" xfId="0" applyFont="1" applyBorder="1" applyAlignment="1">
      <alignment vertical="center" wrapText="1"/>
    </xf>
    <xf numFmtId="0" fontId="38" fillId="0" borderId="1" xfId="0" applyFont="1" applyBorder="1" applyAlignment="1">
      <alignment horizontal="left" vertical="center" wrapText="1"/>
    </xf>
    <xf numFmtId="0" fontId="18" fillId="0" borderId="0" xfId="10" applyFont="1" applyAlignment="1">
      <alignment vertical="center" wrapText="1"/>
    </xf>
    <xf numFmtId="0" fontId="4" fillId="0" borderId="1" xfId="0" applyFont="1" applyBorder="1" applyAlignment="1">
      <alignment horizontal="center" vertical="center" wrapText="1"/>
    </xf>
    <xf numFmtId="0" fontId="6" fillId="0" borderId="11" xfId="0" applyFont="1" applyBorder="1" applyAlignment="1">
      <alignment vertical="center"/>
    </xf>
    <xf numFmtId="0" fontId="38" fillId="0" borderId="13" xfId="0" applyFont="1" applyBorder="1" applyAlignment="1">
      <alignment vertical="center"/>
    </xf>
    <xf numFmtId="0" fontId="0" fillId="0" borderId="13" xfId="0" applyBorder="1" applyAlignment="1">
      <alignment vertical="center" wrapText="1"/>
    </xf>
    <xf numFmtId="0" fontId="39" fillId="0" borderId="12" xfId="0" applyFont="1" applyBorder="1" applyAlignment="1">
      <alignment vertical="center" wrapText="1"/>
    </xf>
    <xf numFmtId="0" fontId="39" fillId="0" borderId="72" xfId="0" applyFont="1" applyBorder="1" applyAlignment="1">
      <alignment vertical="center" wrapText="1"/>
    </xf>
    <xf numFmtId="0" fontId="39" fillId="0" borderId="72" xfId="0" applyFont="1" applyBorder="1" applyAlignment="1">
      <alignment horizontal="center" vertical="center" wrapText="1"/>
    </xf>
    <xf numFmtId="4" fontId="39" fillId="0" borderId="16" xfId="2" applyNumberFormat="1" applyFont="1" applyBorder="1" applyAlignment="1">
      <alignment vertical="center"/>
    </xf>
    <xf numFmtId="0" fontId="37" fillId="0" borderId="69" xfId="0" applyFont="1" applyBorder="1" applyAlignment="1">
      <alignment horizontal="center" vertical="center" wrapText="1"/>
    </xf>
    <xf numFmtId="0" fontId="35" fillId="0" borderId="70" xfId="0" applyFont="1" applyBorder="1" applyAlignment="1">
      <alignment horizontal="center" vertical="center" wrapText="1"/>
    </xf>
    <xf numFmtId="0" fontId="4" fillId="0" borderId="70" xfId="0" applyFont="1" applyBorder="1" applyAlignment="1">
      <alignment horizontal="center" vertical="top"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19" fillId="0" borderId="0" xfId="10" applyFont="1" applyAlignment="1">
      <alignment vertical="center"/>
    </xf>
    <xf numFmtId="0" fontId="11" fillId="6" borderId="31" xfId="9" applyFont="1" applyFill="1" applyBorder="1" applyAlignment="1">
      <alignment horizontal="center" vertical="center"/>
    </xf>
    <xf numFmtId="0" fontId="40" fillId="9" borderId="0" xfId="0" applyFont="1" applyFill="1" applyAlignment="1">
      <alignment horizontal="center"/>
    </xf>
    <xf numFmtId="0" fontId="40" fillId="9" borderId="0" xfId="0" applyFont="1" applyFill="1">
      <alignment horizontal="left"/>
    </xf>
    <xf numFmtId="0" fontId="11" fillId="0" borderId="31" xfId="9" applyFont="1" applyBorder="1" applyAlignment="1">
      <alignment vertical="center"/>
    </xf>
    <xf numFmtId="0" fontId="11" fillId="0" borderId="31" xfId="9" applyFont="1" applyBorder="1" applyAlignment="1">
      <alignment horizontal="center" vertical="center"/>
    </xf>
    <xf numFmtId="0" fontId="40" fillId="0" borderId="31" xfId="9" applyFont="1" applyBorder="1" applyAlignment="1">
      <alignment vertical="center"/>
    </xf>
    <xf numFmtId="0" fontId="40" fillId="10" borderId="68" xfId="11" applyFont="1" applyFill="1" applyBorder="1"/>
    <xf numFmtId="166" fontId="40" fillId="10" borderId="0" xfId="0" applyNumberFormat="1" applyFont="1" applyFill="1" applyAlignment="1">
      <alignment horizontal="center"/>
    </xf>
    <xf numFmtId="167" fontId="40" fillId="10" borderId="0" xfId="0" applyNumberFormat="1" applyFont="1" applyFill="1" applyAlignment="1">
      <alignment horizontal="center"/>
    </xf>
    <xf numFmtId="0" fontId="50" fillId="0" borderId="0" xfId="0" applyFont="1" applyAlignment="1"/>
    <xf numFmtId="0" fontId="3" fillId="0" borderId="2" xfId="0" applyFont="1" applyBorder="1" applyAlignment="1" applyProtection="1">
      <alignment horizontal="left" vertical="top" wrapText="1"/>
      <protection locked="0"/>
    </xf>
    <xf numFmtId="0" fontId="11" fillId="0" borderId="0" xfId="9" applyFont="1" applyAlignment="1">
      <alignment vertical="center"/>
    </xf>
    <xf numFmtId="0" fontId="51" fillId="3" borderId="0" xfId="6" applyFont="1" applyFill="1"/>
    <xf numFmtId="0" fontId="52" fillId="3" borderId="0" xfId="6" applyFont="1" applyFill="1"/>
    <xf numFmtId="0" fontId="8" fillId="0" borderId="0" xfId="6" applyFont="1"/>
    <xf numFmtId="168" fontId="40" fillId="0" borderId="67" xfId="11" applyNumberFormat="1" applyFont="1" applyBorder="1" applyAlignment="1">
      <alignment horizontal="center" vertical="center"/>
    </xf>
    <xf numFmtId="0" fontId="40" fillId="0" borderId="0" xfId="0" applyFont="1" applyAlignment="1"/>
    <xf numFmtId="0" fontId="11" fillId="6" borderId="32" xfId="9" applyFont="1" applyFill="1" applyBorder="1" applyAlignment="1">
      <alignment horizontal="right" vertical="center"/>
    </xf>
    <xf numFmtId="17" fontId="49" fillId="11" borderId="66" xfId="12" applyNumberFormat="1" applyFont="1" applyFill="1" applyBorder="1" applyAlignment="1">
      <alignment horizontal="center" vertical="center" wrapText="1"/>
    </xf>
    <xf numFmtId="17" fontId="49" fillId="11" borderId="66" xfId="12" applyNumberFormat="1" applyFont="1" applyFill="1" applyBorder="1" applyAlignment="1">
      <alignment horizontal="center" vertical="top" wrapText="1"/>
    </xf>
    <xf numFmtId="3" fontId="39" fillId="0" borderId="1" xfId="2" applyNumberFormat="1" applyFont="1" applyBorder="1" applyAlignment="1">
      <alignment horizontal="center" vertical="center"/>
    </xf>
    <xf numFmtId="0" fontId="5" fillId="0" borderId="0" xfId="0" applyFont="1" applyAlignment="1" applyProtection="1">
      <alignment vertical="center" wrapText="1"/>
      <protection locked="0"/>
    </xf>
    <xf numFmtId="0" fontId="5" fillId="0" borderId="54"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50" fillId="6" borderId="32" xfId="9" applyFont="1" applyFill="1" applyBorder="1" applyAlignment="1">
      <alignment horizontal="left" vertical="center"/>
    </xf>
    <xf numFmtId="0" fontId="40" fillId="6" borderId="31" xfId="9" applyFont="1" applyFill="1" applyBorder="1" applyAlignment="1">
      <alignment horizontal="left" vertical="center"/>
    </xf>
    <xf numFmtId="0" fontId="5" fillId="0" borderId="0" xfId="0" applyFont="1" applyAlignment="1">
      <alignment wrapText="1"/>
    </xf>
    <xf numFmtId="0" fontId="39" fillId="0" borderId="0" xfId="0" applyFont="1" applyAlignment="1"/>
    <xf numFmtId="0" fontId="5" fillId="0" borderId="63" xfId="0" applyFont="1" applyBorder="1" applyAlignment="1" applyProtection="1">
      <alignment horizontal="center" vertical="center"/>
      <protection locked="0"/>
    </xf>
    <xf numFmtId="169" fontId="40" fillId="5" borderId="0" xfId="0" applyNumberFormat="1" applyFont="1" applyFill="1" applyAlignment="1"/>
    <xf numFmtId="0" fontId="5" fillId="0" borderId="0" xfId="0" applyFont="1" applyAlignment="1" applyProtection="1">
      <alignment vertical="top" wrapText="1"/>
      <protection locked="0"/>
    </xf>
    <xf numFmtId="0" fontId="5" fillId="0" borderId="3" xfId="0" applyFont="1" applyBorder="1" applyAlignment="1" applyProtection="1">
      <alignment vertical="top" wrapText="1"/>
      <protection locked="0"/>
    </xf>
    <xf numFmtId="0" fontId="5" fillId="0" borderId="57" xfId="0" applyFont="1" applyBorder="1" applyAlignment="1" applyProtection="1">
      <alignment vertical="top"/>
      <protection locked="0"/>
    </xf>
    <xf numFmtId="0" fontId="40" fillId="5" borderId="67" xfId="11" applyFont="1" applyFill="1" applyBorder="1" applyAlignment="1">
      <alignment horizontal="center"/>
    </xf>
    <xf numFmtId="0" fontId="5" fillId="0" borderId="10" xfId="0" applyFont="1" applyBorder="1" applyAlignment="1" applyProtection="1">
      <alignment horizontal="center" vertical="center"/>
      <protection locked="0"/>
    </xf>
    <xf numFmtId="0" fontId="5" fillId="0" borderId="63" xfId="0" applyFont="1" applyBorder="1" applyAlignment="1" applyProtection="1">
      <alignment vertical="center" wrapText="1"/>
      <protection locked="0"/>
    </xf>
    <xf numFmtId="0" fontId="5" fillId="0" borderId="63" xfId="0" applyFont="1" applyBorder="1" applyAlignment="1" applyProtection="1">
      <alignment vertical="center"/>
      <protection locked="0"/>
    </xf>
    <xf numFmtId="0" fontId="5" fillId="0" borderId="64" xfId="0" applyFont="1" applyBorder="1" applyAlignment="1" applyProtection="1">
      <alignment vertical="center"/>
      <protection locked="0"/>
    </xf>
    <xf numFmtId="0" fontId="5" fillId="0" borderId="65" xfId="0" applyFont="1" applyBorder="1" applyAlignment="1" applyProtection="1">
      <alignment vertical="center"/>
      <protection locked="0"/>
    </xf>
    <xf numFmtId="0" fontId="5" fillId="0" borderId="4" xfId="0" applyFont="1" applyBorder="1" applyAlignment="1" applyProtection="1">
      <alignment horizontal="center" vertical="center"/>
      <protection locked="0"/>
    </xf>
    <xf numFmtId="4" fontId="5" fillId="0" borderId="4" xfId="0" applyNumberFormat="1" applyFont="1" applyBorder="1" applyAlignment="1" applyProtection="1">
      <alignment horizontal="center" vertical="center"/>
      <protection locked="0"/>
    </xf>
    <xf numFmtId="4" fontId="5" fillId="0" borderId="21" xfId="0" applyNumberFormat="1" applyFont="1" applyBorder="1" applyAlignment="1" applyProtection="1">
      <alignment horizontal="center" vertical="center"/>
      <protection locked="0"/>
    </xf>
    <xf numFmtId="0" fontId="11" fillId="0" borderId="31" xfId="9" applyFont="1" applyBorder="1" applyAlignment="1">
      <alignment horizontal="left" vertical="center"/>
    </xf>
    <xf numFmtId="3" fontId="11" fillId="0" borderId="31" xfId="9" applyNumberFormat="1" applyFont="1" applyBorder="1" applyAlignment="1">
      <alignment horizontal="right" vertical="center"/>
    </xf>
    <xf numFmtId="167" fontId="11" fillId="0" borderId="31" xfId="9" applyNumberFormat="1" applyFont="1" applyBorder="1" applyAlignment="1">
      <alignment horizontal="center" vertical="center"/>
    </xf>
    <xf numFmtId="3" fontId="11" fillId="0" borderId="31" xfId="9" applyNumberFormat="1" applyFont="1" applyBorder="1" applyAlignment="1">
      <alignment horizontal="center" vertical="center"/>
    </xf>
    <xf numFmtId="3" fontId="11" fillId="6" borderId="31" xfId="9" applyNumberFormat="1" applyFont="1" applyFill="1" applyBorder="1" applyAlignment="1">
      <alignment horizontal="center" vertical="center"/>
    </xf>
    <xf numFmtId="3" fontId="40" fillId="10" borderId="0" xfId="0" applyNumberFormat="1" applyFont="1" applyFill="1" applyAlignment="1">
      <alignment horizontal="center"/>
    </xf>
    <xf numFmtId="3" fontId="0" fillId="0" borderId="0" xfId="0" applyNumberFormat="1" applyAlignment="1"/>
    <xf numFmtId="3" fontId="11" fillId="6" borderId="32" xfId="9" applyNumberFormat="1" applyFont="1" applyFill="1" applyBorder="1" applyAlignment="1">
      <alignment horizontal="right" vertical="center"/>
    </xf>
    <xf numFmtId="0" fontId="6" fillId="10" borderId="0" xfId="0" applyFont="1" applyFill="1" applyAlignment="1">
      <alignment horizontal="center" vertical="center" wrapText="1"/>
    </xf>
    <xf numFmtId="0" fontId="3" fillId="0" borderId="5" xfId="0" applyFont="1" applyBorder="1" applyAlignment="1" applyProtection="1">
      <alignment horizontal="left" vertical="top" wrapText="1"/>
      <protection locked="0"/>
    </xf>
    <xf numFmtId="0" fontId="3" fillId="0" borderId="26" xfId="0" applyFont="1" applyBorder="1" applyAlignment="1" applyProtection="1">
      <alignment horizontal="left" vertical="center" wrapText="1"/>
      <protection locked="0"/>
    </xf>
    <xf numFmtId="3" fontId="3" fillId="6" borderId="74" xfId="9" applyNumberFormat="1" applyFont="1" applyFill="1" applyBorder="1" applyAlignment="1">
      <alignment horizontal="center" vertical="center"/>
    </xf>
    <xf numFmtId="0" fontId="3" fillId="0" borderId="26" xfId="0" applyFont="1" applyBorder="1" applyAlignment="1">
      <alignment vertical="center" wrapText="1"/>
    </xf>
    <xf numFmtId="0" fontId="40" fillId="0" borderId="0" xfId="0" applyFont="1" applyAlignment="1">
      <alignment horizontal="center" vertical="center"/>
    </xf>
    <xf numFmtId="0" fontId="50" fillId="0" borderId="0" xfId="0" applyFont="1">
      <alignment horizontal="left"/>
    </xf>
    <xf numFmtId="0" fontId="57" fillId="0" borderId="0" xfId="0" applyFont="1" applyAlignment="1">
      <alignment vertical="center"/>
    </xf>
    <xf numFmtId="0" fontId="57" fillId="0" borderId="0" xfId="0" applyFont="1" applyAlignment="1">
      <alignment horizontal="left" vertical="center" indent="1"/>
    </xf>
    <xf numFmtId="0" fontId="58" fillId="0" borderId="0" xfId="0" applyFont="1" applyAlignment="1">
      <alignment vertical="center"/>
    </xf>
    <xf numFmtId="0" fontId="57" fillId="0" borderId="0" xfId="0" applyFont="1" applyAlignment="1">
      <alignment horizontal="left" vertical="center" wrapText="1" indent="1"/>
    </xf>
    <xf numFmtId="0" fontId="4" fillId="0" borderId="0" xfId="0" applyFont="1" applyAlignment="1">
      <alignment wrapText="1"/>
    </xf>
    <xf numFmtId="0" fontId="58" fillId="0" borderId="0" xfId="0" applyFont="1" applyAlignment="1">
      <alignment vertical="center" wrapText="1"/>
    </xf>
    <xf numFmtId="0" fontId="55" fillId="0" borderId="0" xfId="2" applyFont="1" applyBorder="1" applyAlignment="1"/>
    <xf numFmtId="0" fontId="53" fillId="0" borderId="0" xfId="10" applyFont="1" applyAlignment="1">
      <alignment vertical="center"/>
    </xf>
    <xf numFmtId="0" fontId="54" fillId="0" borderId="0" xfId="10" applyFont="1" applyAlignment="1">
      <alignment vertical="center"/>
    </xf>
    <xf numFmtId="0" fontId="8" fillId="0" borderId="0" xfId="9" applyFont="1" applyAlignment="1">
      <alignment vertical="center"/>
    </xf>
    <xf numFmtId="0" fontId="54" fillId="0" borderId="0" xfId="9" applyFont="1" applyAlignment="1">
      <alignment vertical="center"/>
    </xf>
    <xf numFmtId="0" fontId="17" fillId="0" borderId="0" xfId="6" applyFont="1" applyAlignment="1">
      <alignment horizontal="left"/>
    </xf>
    <xf numFmtId="0" fontId="17" fillId="0" borderId="0" xfId="9" applyFont="1" applyAlignment="1">
      <alignment vertical="center"/>
    </xf>
    <xf numFmtId="0" fontId="54" fillId="0" borderId="0" xfId="10" applyFont="1" applyAlignment="1">
      <alignment vertical="center" wrapText="1"/>
    </xf>
    <xf numFmtId="0" fontId="54" fillId="0" borderId="0" xfId="6" applyFont="1"/>
    <xf numFmtId="0" fontId="53" fillId="0" borderId="0" xfId="6" applyFont="1"/>
    <xf numFmtId="0" fontId="56" fillId="0" borderId="0" xfId="6" applyFont="1"/>
    <xf numFmtId="0" fontId="54" fillId="0" borderId="0" xfId="5" applyFont="1" applyAlignment="1">
      <alignment vertical="center"/>
    </xf>
    <xf numFmtId="0" fontId="18" fillId="0" borderId="0" xfId="13" applyFont="1" applyAlignment="1">
      <alignment vertical="center"/>
    </xf>
    <xf numFmtId="0" fontId="18" fillId="2" borderId="1" xfId="9" applyFont="1" applyFill="1" applyBorder="1" applyAlignment="1">
      <alignment horizontal="center" vertical="center" wrapText="1"/>
    </xf>
    <xf numFmtId="0" fontId="41" fillId="0" borderId="44" xfId="9" applyFont="1" applyBorder="1" applyAlignment="1">
      <alignment horizontal="left" vertical="top" wrapText="1"/>
    </xf>
    <xf numFmtId="0" fontId="41" fillId="0" borderId="43" xfId="9" applyFont="1" applyBorder="1" applyAlignment="1">
      <alignment horizontal="left" vertical="top" wrapText="1"/>
    </xf>
    <xf numFmtId="0" fontId="3" fillId="7" borderId="0" xfId="9" applyFont="1" applyFill="1" applyAlignment="1">
      <alignment horizontal="center" vertical="top" wrapText="1"/>
    </xf>
    <xf numFmtId="0" fontId="11" fillId="0" borderId="38" xfId="0" applyFont="1" applyBorder="1" applyAlignment="1">
      <alignment horizontal="center"/>
    </xf>
    <xf numFmtId="0" fontId="41" fillId="0" borderId="37" xfId="9" applyFont="1" applyBorder="1" applyAlignment="1">
      <alignment horizontal="center" vertical="center" wrapText="1"/>
    </xf>
    <xf numFmtId="0" fontId="41" fillId="0" borderId="38" xfId="9" applyFont="1" applyBorder="1" applyAlignment="1">
      <alignment horizontal="center" vertical="center" wrapText="1"/>
    </xf>
    <xf numFmtId="0" fontId="7" fillId="0" borderId="39" xfId="9" applyBorder="1" applyAlignment="1">
      <alignment horizontal="left" wrapText="1"/>
    </xf>
    <xf numFmtId="0" fontId="7" fillId="0" borderId="34" xfId="9" applyBorder="1" applyAlignment="1">
      <alignment horizontal="center" vertical="top" wrapText="1"/>
    </xf>
    <xf numFmtId="0" fontId="7" fillId="0" borderId="35" xfId="9" applyBorder="1" applyAlignment="1">
      <alignment horizontal="center" vertical="top" wrapText="1"/>
    </xf>
    <xf numFmtId="0" fontId="41" fillId="0" borderId="37" xfId="9" applyFont="1" applyBorder="1" applyAlignment="1">
      <alignment horizontal="center" vertical="top" wrapText="1"/>
    </xf>
    <xf numFmtId="0" fontId="41" fillId="0" borderId="38" xfId="9" applyFont="1" applyBorder="1" applyAlignment="1">
      <alignment horizontal="center" vertical="top" wrapText="1"/>
    </xf>
    <xf numFmtId="0" fontId="41" fillId="0" borderId="37" xfId="9" applyFont="1" applyBorder="1" applyAlignment="1">
      <alignment horizontal="left" vertical="top" wrapText="1" indent="11"/>
    </xf>
    <xf numFmtId="0" fontId="41" fillId="0" borderId="38" xfId="9" applyFont="1" applyBorder="1" applyAlignment="1">
      <alignment horizontal="left" vertical="top" wrapText="1" indent="11"/>
    </xf>
    <xf numFmtId="1" fontId="41" fillId="0" borderId="37" xfId="9" applyNumberFormat="1" applyFont="1" applyBorder="1" applyAlignment="1">
      <alignment horizontal="center" vertical="center" shrinkToFit="1"/>
    </xf>
    <xf numFmtId="1" fontId="41" fillId="0" borderId="38" xfId="9" applyNumberFormat="1" applyFont="1" applyBorder="1" applyAlignment="1">
      <alignment horizontal="center" vertical="center" shrinkToFit="1"/>
    </xf>
    <xf numFmtId="0" fontId="41" fillId="0" borderId="34" xfId="9" applyFont="1" applyBorder="1" applyAlignment="1">
      <alignment horizontal="center" vertical="top" wrapText="1"/>
    </xf>
    <xf numFmtId="0" fontId="41" fillId="0" borderId="35" xfId="9" applyFont="1" applyBorder="1" applyAlignment="1">
      <alignment horizontal="center" vertical="top" wrapText="1"/>
    </xf>
    <xf numFmtId="0" fontId="11" fillId="6" borderId="31" xfId="9" applyFont="1" applyFill="1" applyBorder="1" applyAlignment="1">
      <alignment horizontal="center" vertical="center" wrapText="1"/>
    </xf>
    <xf numFmtId="0" fontId="11" fillId="6" borderId="32" xfId="9" applyFont="1" applyFill="1" applyBorder="1" applyAlignment="1">
      <alignment horizontal="center" vertical="center" wrapText="1"/>
    </xf>
    <xf numFmtId="10" fontId="41" fillId="0" borderId="37" xfId="9" applyNumberFormat="1" applyFont="1" applyBorder="1" applyAlignment="1">
      <alignment horizontal="center" vertical="top" shrinkToFit="1"/>
    </xf>
    <xf numFmtId="10" fontId="41" fillId="0" borderId="36" xfId="9" applyNumberFormat="1" applyFont="1" applyBorder="1" applyAlignment="1">
      <alignment horizontal="center" vertical="top" shrinkToFit="1"/>
    </xf>
    <xf numFmtId="0" fontId="20" fillId="7" borderId="0" xfId="9" applyFont="1" applyFill="1" applyAlignment="1">
      <alignment horizontal="center" vertical="top" wrapText="1"/>
    </xf>
    <xf numFmtId="10" fontId="41" fillId="0" borderId="34" xfId="9" applyNumberFormat="1" applyFont="1" applyBorder="1" applyAlignment="1">
      <alignment horizontal="center" vertical="center" shrinkToFit="1"/>
    </xf>
    <xf numFmtId="10" fontId="41" fillId="0" borderId="35" xfId="9" applyNumberFormat="1" applyFont="1" applyBorder="1" applyAlignment="1">
      <alignment horizontal="center" vertical="center" shrinkToFit="1"/>
    </xf>
    <xf numFmtId="10" fontId="41" fillId="0" borderId="37" xfId="9" applyNumberFormat="1" applyFont="1" applyBorder="1" applyAlignment="1">
      <alignment horizontal="center" vertical="center" shrinkToFit="1"/>
    </xf>
    <xf numFmtId="10" fontId="41" fillId="0" borderId="38" xfId="9" applyNumberFormat="1" applyFont="1" applyBorder="1" applyAlignment="1">
      <alignment horizontal="center" vertical="center" shrinkToFit="1"/>
    </xf>
    <xf numFmtId="0" fontId="20" fillId="0" borderId="0" xfId="0" applyFont="1" applyAlignment="1">
      <alignment horizontal="left" vertical="center"/>
    </xf>
    <xf numFmtId="0" fontId="41" fillId="0" borderId="34" xfId="9" applyFont="1" applyBorder="1" applyAlignment="1">
      <alignment horizontal="center" vertical="center" wrapText="1"/>
    </xf>
    <xf numFmtId="0" fontId="41" fillId="0" borderId="35" xfId="9" applyFont="1" applyBorder="1" applyAlignment="1">
      <alignment horizontal="center" vertical="center" wrapText="1"/>
    </xf>
    <xf numFmtId="0" fontId="0" fillId="0" borderId="17"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10" fontId="41" fillId="0" borderId="34" xfId="9" applyNumberFormat="1" applyFont="1" applyBorder="1" applyAlignment="1">
      <alignment horizontal="center" vertical="top" shrinkToFit="1"/>
    </xf>
    <xf numFmtId="10" fontId="41" fillId="0" borderId="33" xfId="9" applyNumberFormat="1" applyFont="1" applyBorder="1" applyAlignment="1">
      <alignment horizontal="center" vertical="top" shrinkToFit="1"/>
    </xf>
    <xf numFmtId="0" fontId="43" fillId="6" borderId="31" xfId="9" applyFont="1" applyFill="1" applyBorder="1" applyAlignment="1">
      <alignment horizontal="center" vertical="center" wrapText="1"/>
    </xf>
    <xf numFmtId="0" fontId="11" fillId="6" borderId="30" xfId="9" applyFont="1" applyFill="1" applyBorder="1" applyAlignment="1">
      <alignment horizontal="center" vertical="center" wrapText="1"/>
    </xf>
    <xf numFmtId="0" fontId="7" fillId="6" borderId="30" xfId="9" applyFill="1" applyBorder="1" applyAlignment="1">
      <alignment horizontal="center" vertical="center" wrapText="1"/>
    </xf>
    <xf numFmtId="0" fontId="0" fillId="6" borderId="31" xfId="9" applyFont="1" applyFill="1" applyBorder="1" applyAlignment="1">
      <alignment horizontal="center" vertical="center" wrapText="1"/>
    </xf>
    <xf numFmtId="0" fontId="11" fillId="0" borderId="35" xfId="0" applyFont="1" applyBorder="1" applyAlignment="1">
      <alignment horizontal="center"/>
    </xf>
    <xf numFmtId="0" fontId="20" fillId="7" borderId="0" xfId="9" applyFont="1" applyFill="1" applyAlignment="1">
      <alignment horizontal="center" vertical="center" wrapText="1"/>
    </xf>
    <xf numFmtId="0" fontId="7" fillId="0" borderId="37" xfId="9" applyBorder="1" applyAlignment="1">
      <alignment horizontal="center" vertical="top" wrapText="1"/>
    </xf>
    <xf numFmtId="0" fontId="7" fillId="0" borderId="38" xfId="9" applyBorder="1" applyAlignment="1">
      <alignment horizontal="center" vertical="top" wrapText="1"/>
    </xf>
    <xf numFmtId="0" fontId="4" fillId="0" borderId="73" xfId="0" applyFont="1" applyBorder="1" applyAlignment="1">
      <alignment horizontal="center" vertical="center"/>
    </xf>
    <xf numFmtId="0" fontId="4" fillId="0" borderId="0" xfId="0" applyFont="1" applyAlignment="1">
      <alignment horizontal="center" vertical="center"/>
    </xf>
    <xf numFmtId="0" fontId="5" fillId="0" borderId="26" xfId="0" applyFont="1" applyBorder="1" applyAlignment="1">
      <alignment horizontal="center" vertical="center" wrapText="1"/>
    </xf>
    <xf numFmtId="0" fontId="27" fillId="0" borderId="4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49" xfId="0" applyFont="1" applyBorder="1" applyAlignment="1">
      <alignment horizontal="center" vertical="center" wrapText="1"/>
    </xf>
    <xf numFmtId="0" fontId="3" fillId="0" borderId="50" xfId="0" applyFont="1" applyBorder="1" applyAlignment="1" applyProtection="1">
      <alignment horizontal="left" vertical="top" wrapText="1"/>
      <protection locked="0"/>
    </xf>
    <xf numFmtId="0" fontId="3" fillId="0" borderId="54" xfId="0" applyFont="1" applyBorder="1" applyAlignment="1" applyProtection="1">
      <alignment horizontal="left" vertical="top" wrapText="1"/>
      <protection locked="0"/>
    </xf>
    <xf numFmtId="0" fontId="3" fillId="0" borderId="51" xfId="0" applyFont="1" applyBorder="1" applyAlignment="1" applyProtection="1">
      <alignment horizontal="left" vertical="top" wrapText="1"/>
      <protection locked="0"/>
    </xf>
    <xf numFmtId="4" fontId="3" fillId="0" borderId="46" xfId="0" applyNumberFormat="1" applyFont="1" applyBorder="1" applyAlignment="1" applyProtection="1">
      <alignment horizontal="center" vertical="center"/>
      <protection locked="0"/>
    </xf>
    <xf numFmtId="4" fontId="3" fillId="0" borderId="47" xfId="0" applyNumberFormat="1" applyFont="1" applyBorder="1" applyAlignment="1" applyProtection="1">
      <alignment horizontal="center" vertical="center"/>
      <protection locked="0"/>
    </xf>
    <xf numFmtId="4" fontId="3" fillId="0" borderId="4" xfId="0" applyNumberFormat="1" applyFont="1" applyBorder="1" applyAlignment="1" applyProtection="1">
      <alignment horizontal="center" vertical="center"/>
      <protection locked="0"/>
    </xf>
    <xf numFmtId="0" fontId="0" fillId="0" borderId="28" xfId="0" applyBorder="1" applyAlignment="1" applyProtection="1">
      <alignment horizontal="center" vertical="center" wrapText="1"/>
      <protection locked="0"/>
    </xf>
    <xf numFmtId="0" fontId="0" fillId="0" borderId="6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52" xfId="0" applyBorder="1" applyAlignment="1" applyProtection="1">
      <alignment horizontal="center" vertical="top"/>
      <protection locked="0"/>
    </xf>
    <xf numFmtId="0" fontId="0" fillId="0" borderId="22" xfId="0" applyBorder="1" applyAlignment="1" applyProtection="1">
      <alignment horizontal="center" vertical="top"/>
      <protection locked="0"/>
    </xf>
    <xf numFmtId="0" fontId="0" fillId="0" borderId="53" xfId="0" applyBorder="1" applyAlignment="1" applyProtection="1">
      <alignment horizontal="center" vertical="top"/>
      <protection locked="0"/>
    </xf>
    <xf numFmtId="0" fontId="3" fillId="0" borderId="5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1" fontId="3" fillId="0" borderId="46" xfId="0" applyNumberFormat="1" applyFont="1" applyBorder="1" applyAlignment="1" applyProtection="1">
      <alignment horizontal="center" vertical="center"/>
      <protection locked="0"/>
    </xf>
    <xf numFmtId="1" fontId="3" fillId="0" borderId="47" xfId="0" applyNumberFormat="1" applyFont="1" applyBorder="1" applyAlignment="1" applyProtection="1">
      <alignment horizontal="center" vertical="center"/>
      <protection locked="0"/>
    </xf>
    <xf numFmtId="1" fontId="3" fillId="0" borderId="4" xfId="0" applyNumberFormat="1" applyFont="1" applyBorder="1" applyAlignment="1" applyProtection="1">
      <alignment horizontal="center" vertical="center"/>
      <protection locked="0"/>
    </xf>
    <xf numFmtId="0" fontId="3" fillId="0" borderId="47"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4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0" fillId="0" borderId="58" xfId="0" applyBorder="1" applyAlignment="1" applyProtection="1">
      <alignment horizontal="right" vertical="top"/>
      <protection locked="0"/>
    </xf>
    <xf numFmtId="0" fontId="0" fillId="0" borderId="59" xfId="0" applyBorder="1" applyAlignment="1" applyProtection="1">
      <alignment horizontal="right" vertical="top"/>
      <protection locked="0"/>
    </xf>
    <xf numFmtId="0" fontId="0" fillId="0" borderId="10" xfId="0" applyBorder="1" applyAlignment="1" applyProtection="1">
      <alignment horizontal="right" vertical="top"/>
      <protection locked="0"/>
    </xf>
    <xf numFmtId="0" fontId="5" fillId="0" borderId="50" xfId="0" applyFont="1" applyBorder="1" applyAlignment="1" applyProtection="1">
      <alignment vertical="top" wrapText="1"/>
      <protection locked="0"/>
    </xf>
    <xf numFmtId="0" fontId="5" fillId="0" borderId="57" xfId="0" applyFont="1" applyBorder="1" applyAlignment="1" applyProtection="1">
      <alignment vertical="top" wrapText="1"/>
      <protection locked="0"/>
    </xf>
    <xf numFmtId="0" fontId="5" fillId="0" borderId="5" xfId="0" applyFont="1" applyBorder="1" applyAlignment="1" applyProtection="1">
      <alignment vertical="top" wrapText="1"/>
      <protection locked="0"/>
    </xf>
    <xf numFmtId="0" fontId="3" fillId="0" borderId="55" xfId="0" applyFont="1" applyBorder="1" applyAlignment="1" applyProtection="1">
      <alignment horizontal="left" vertical="top" wrapText="1"/>
      <protection locked="0"/>
    </xf>
    <xf numFmtId="0" fontId="3" fillId="0" borderId="62" xfId="0" applyFont="1" applyBorder="1" applyAlignment="1" applyProtection="1">
      <alignment horizontal="left" vertical="top" wrapText="1"/>
      <protection locked="0"/>
    </xf>
    <xf numFmtId="0" fontId="3" fillId="0" borderId="5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61" xfId="0" applyFont="1" applyBorder="1" applyAlignment="1" applyProtection="1">
      <alignment horizontal="left" vertical="top" wrapText="1"/>
      <protection locked="0"/>
    </xf>
    <xf numFmtId="0" fontId="5" fillId="0" borderId="29" xfId="0" applyFont="1" applyBorder="1" applyAlignment="1" applyProtection="1">
      <alignment horizontal="left" vertical="top" wrapText="1"/>
      <protection locked="0"/>
    </xf>
    <xf numFmtId="0" fontId="3" fillId="0" borderId="2" xfId="0" applyFont="1" applyBorder="1" applyAlignment="1" applyProtection="1">
      <alignment horizontal="center" vertical="top" wrapText="1"/>
      <protection locked="0"/>
    </xf>
    <xf numFmtId="0" fontId="3" fillId="0" borderId="61" xfId="0" applyFont="1" applyBorder="1" applyAlignment="1" applyProtection="1">
      <alignment horizontal="center" vertical="top" wrapText="1"/>
      <protection locked="0"/>
    </xf>
    <xf numFmtId="0" fontId="3" fillId="0" borderId="29" xfId="0" applyFont="1" applyBorder="1" applyAlignment="1" applyProtection="1">
      <alignment horizontal="center" vertical="top" wrapText="1"/>
      <protection locked="0"/>
    </xf>
    <xf numFmtId="0" fontId="3" fillId="0" borderId="2" xfId="0" applyFont="1" applyBorder="1" applyAlignment="1" applyProtection="1">
      <alignment horizontal="left" vertical="top" wrapText="1"/>
      <protection locked="0"/>
    </xf>
    <xf numFmtId="0" fontId="3" fillId="0" borderId="61" xfId="0" applyFont="1" applyBorder="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0" fontId="18" fillId="0" borderId="0" xfId="13" applyFont="1" applyAlignment="1">
      <alignment horizontal="left" vertical="center"/>
    </xf>
    <xf numFmtId="0" fontId="18" fillId="0" borderId="3" xfId="13" applyFont="1" applyBorder="1" applyAlignment="1">
      <alignment horizontal="left" vertical="center"/>
    </xf>
    <xf numFmtId="0" fontId="18" fillId="0" borderId="0" xfId="9" applyFont="1" applyAlignment="1">
      <alignment horizontal="left" vertical="center"/>
    </xf>
    <xf numFmtId="0" fontId="18" fillId="0" borderId="3" xfId="9" applyFont="1" applyBorder="1" applyAlignment="1">
      <alignment horizontal="left" vertical="center"/>
    </xf>
    <xf numFmtId="0" fontId="20" fillId="0" borderId="0" xfId="9" applyFont="1" applyAlignment="1">
      <alignment horizontal="left" vertical="center"/>
    </xf>
    <xf numFmtId="0" fontId="20" fillId="0" borderId="3" xfId="9" applyFont="1" applyBorder="1" applyAlignment="1">
      <alignment horizontal="left" vertical="center"/>
    </xf>
    <xf numFmtId="0" fontId="18" fillId="0" borderId="0" xfId="13" applyFont="1" applyAlignment="1">
      <alignment horizontal="left" vertical="center" wrapText="1"/>
    </xf>
    <xf numFmtId="0" fontId="18" fillId="0" borderId="3" xfId="13" applyFont="1" applyBorder="1" applyAlignment="1">
      <alignment horizontal="left" vertical="center" wrapText="1"/>
    </xf>
    <xf numFmtId="0" fontId="39" fillId="0" borderId="0" xfId="0" applyFont="1" applyAlignment="1">
      <alignment horizontal="center" vertical="center"/>
    </xf>
    <xf numFmtId="0" fontId="4" fillId="0" borderId="26" xfId="0" applyFont="1" applyBorder="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61" xfId="0" applyFont="1" applyBorder="1" applyAlignment="1" applyProtection="1">
      <alignment horizontal="left" vertical="top" wrapText="1"/>
      <protection locked="0"/>
    </xf>
    <xf numFmtId="0" fontId="8" fillId="0" borderId="29" xfId="0" applyFont="1" applyBorder="1" applyAlignment="1" applyProtection="1">
      <alignment horizontal="left" vertical="top" wrapText="1"/>
      <protection locked="0"/>
    </xf>
    <xf numFmtId="0" fontId="3" fillId="0" borderId="2" xfId="0" applyFont="1" applyBorder="1" applyAlignment="1" applyProtection="1">
      <alignment vertical="top" wrapText="1"/>
      <protection locked="0"/>
    </xf>
    <xf numFmtId="0" fontId="3" fillId="0" borderId="61" xfId="0" applyFont="1" applyBorder="1" applyAlignment="1" applyProtection="1">
      <alignment vertical="top" wrapText="1"/>
      <protection locked="0"/>
    </xf>
    <xf numFmtId="0" fontId="3" fillId="0" borderId="29" xfId="0" applyFont="1" applyBorder="1" applyAlignment="1" applyProtection="1">
      <alignment vertical="top" wrapText="1"/>
      <protection locked="0"/>
    </xf>
    <xf numFmtId="0" fontId="18" fillId="0" borderId="0" xfId="10" applyFont="1" applyAlignment="1">
      <alignment horizontal="left" vertical="center"/>
    </xf>
    <xf numFmtId="0" fontId="18" fillId="0" borderId="3" xfId="10" applyFont="1" applyBorder="1" applyAlignment="1">
      <alignment horizontal="left" vertical="center"/>
    </xf>
    <xf numFmtId="0" fontId="18" fillId="0" borderId="0" xfId="10" applyFont="1" applyAlignment="1">
      <alignment horizontal="left" vertical="center" wrapText="1"/>
    </xf>
    <xf numFmtId="0" fontId="18" fillId="0" borderId="3" xfId="10" applyFont="1" applyBorder="1" applyAlignment="1">
      <alignment horizontal="left" vertical="center" wrapText="1"/>
    </xf>
  </cellXfs>
  <cellStyles count="14">
    <cellStyle name="Hyperlink" xfId="2" builtinId="8"/>
    <cellStyle name="Normal" xfId="0" builtinId="0"/>
    <cellStyle name="TableStyleLight1" xfId="1" xr:uid="{00000000-0005-0000-0000-000002000000}"/>
    <cellStyle name="Гіперпосилання 3" xfId="3" xr:uid="{00000000-0005-0000-0000-000003000000}"/>
    <cellStyle name="Звичайний 2" xfId="4" xr:uid="{00000000-0005-0000-0000-000004000000}"/>
    <cellStyle name="Звичайний 2 2" xfId="5" xr:uid="{00000000-0005-0000-0000-000005000000}"/>
    <cellStyle name="Звичайний 3" xfId="6" xr:uid="{00000000-0005-0000-0000-000006000000}"/>
    <cellStyle name="Звичайний 4" xfId="7" xr:uid="{00000000-0005-0000-0000-000007000000}"/>
    <cellStyle name="Звичайний 4 2" xfId="10" xr:uid="{00000000-0005-0000-0000-000008000000}"/>
    <cellStyle name="Звичайний 4 2 2" xfId="13" xr:uid="{00000000-0005-0000-0000-000009000000}"/>
    <cellStyle name="Звичайний 8" xfId="8" xr:uid="{00000000-0005-0000-0000-00000A000000}"/>
    <cellStyle name="Обычный 2" xfId="9" xr:uid="{00000000-0005-0000-0000-00000B000000}"/>
    <cellStyle name="Обычный 2 2" xfId="12" xr:uid="{00000000-0005-0000-0000-00000C000000}"/>
    <cellStyle name="Обычный 3" xfId="11"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808000"/>
      <rgbColor rgb="00000080"/>
      <rgbColor rgb="00800080"/>
      <rgbColor rgb="00008080"/>
      <rgbColor rgb="00808080"/>
      <rgbColor rgb="00C0C0C0"/>
      <rgbColor rgb="008080FF"/>
      <rgbColor rgb="00802060"/>
      <rgbColor rgb="00FFFFC0"/>
      <rgbColor rgb="00A0E0E0"/>
      <rgbColor rgb="00600080"/>
      <rgbColor rgb="00FF8080"/>
      <rgbColor rgb="000080C0"/>
      <rgbColor rgb="00C0C0FF"/>
      <rgbColor rgb="0000CFFF"/>
      <rgbColor rgb="0069FFFF"/>
      <rgbColor rgb="00E0FFE0"/>
      <rgbColor rgb="00DD9CB3"/>
      <rgbColor rgb="00B38FEE"/>
      <rgbColor rgb="002A6FF9"/>
      <rgbColor rgb="003FB8CD"/>
      <rgbColor rgb="00488436"/>
      <rgbColor rgb="00958C41"/>
      <rgbColor rgb="008E5E42"/>
      <rgbColor rgb="00A0627A"/>
      <rgbColor rgb="00624FAC"/>
      <rgbColor rgb="001D2FBE"/>
      <rgbColor rgb="00286676"/>
      <rgbColor rgb="00004500"/>
      <rgbColor rgb="00453E01"/>
      <rgbColor rgb="006A2813"/>
      <rgbColor rgb="0085396A"/>
      <rgbColor rgb="004A3285"/>
      <rgbColor rgb="00C0DCC0"/>
      <rgbColor rgb="00A6CAF0"/>
      <rgbColor rgb="00800000"/>
      <rgbColor rgb="00008000"/>
      <rgbColor rgb="00000080"/>
      <rgbColor rgb="00808000"/>
      <rgbColor rgb="00800080"/>
      <rgbColor rgb="00008080"/>
      <rgbColor rgb="00808080"/>
      <rgbColor rgb="00FFFBF0"/>
      <rgbColor rgb="00A0A0A4"/>
      <rgbColor rgb="00313900"/>
      <rgbColor rgb="00D9853E"/>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19</xdr:col>
      <xdr:colOff>395789</xdr:colOff>
      <xdr:row>4</xdr:row>
      <xdr:rowOff>31375</xdr:rowOff>
    </xdr:from>
    <xdr:to>
      <xdr:col>32</xdr:col>
      <xdr:colOff>267437</xdr:colOff>
      <xdr:row>25</xdr:row>
      <xdr:rowOff>68354</xdr:rowOff>
    </xdr:to>
    <xdr:pic>
      <xdr:nvPicPr>
        <xdr:cNvPr id="4" name="Рисунок 3">
          <a:extLst>
            <a:ext uri="{FF2B5EF4-FFF2-40B4-BE49-F238E27FC236}">
              <a16:creationId xmlns:a16="http://schemas.microsoft.com/office/drawing/2014/main" id="{EED22D21-3FDD-49BE-A216-373533D24F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30789" y="703728"/>
          <a:ext cx="6864119" cy="3309098"/>
        </a:xfrm>
        <a:prstGeom prst="rect">
          <a:avLst/>
        </a:prstGeom>
      </xdr:spPr>
    </xdr:pic>
    <xdr:clientData/>
  </xdr:twoCellAnchor>
  <xdr:twoCellAnchor editAs="oneCell">
    <xdr:from>
      <xdr:col>19</xdr:col>
      <xdr:colOff>481854</xdr:colOff>
      <xdr:row>53</xdr:row>
      <xdr:rowOff>302558</xdr:rowOff>
    </xdr:from>
    <xdr:to>
      <xdr:col>34</xdr:col>
      <xdr:colOff>248771</xdr:colOff>
      <xdr:row>76</xdr:row>
      <xdr:rowOff>18917</xdr:rowOff>
    </xdr:to>
    <xdr:pic>
      <xdr:nvPicPr>
        <xdr:cNvPr id="6" name="Рисунок 5">
          <a:extLst>
            <a:ext uri="{FF2B5EF4-FFF2-40B4-BE49-F238E27FC236}">
              <a16:creationId xmlns:a16="http://schemas.microsoft.com/office/drawing/2014/main" id="{97160F23-1707-4AB3-BB96-913766A6787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91148" y="8505264"/>
          <a:ext cx="7835153" cy="3862534"/>
        </a:xfrm>
        <a:prstGeom prst="rect">
          <a:avLst/>
        </a:prstGeom>
      </xdr:spPr>
    </xdr:pic>
    <xdr:clientData/>
  </xdr:twoCellAnchor>
  <xdr:twoCellAnchor editAs="oneCell">
    <xdr:from>
      <xdr:col>19</xdr:col>
      <xdr:colOff>425824</xdr:colOff>
      <xdr:row>29</xdr:row>
      <xdr:rowOff>33617</xdr:rowOff>
    </xdr:from>
    <xdr:to>
      <xdr:col>34</xdr:col>
      <xdr:colOff>129988</xdr:colOff>
      <xdr:row>48</xdr:row>
      <xdr:rowOff>41891</xdr:rowOff>
    </xdr:to>
    <xdr:pic>
      <xdr:nvPicPr>
        <xdr:cNvPr id="8" name="Рисунок 7">
          <a:extLst>
            <a:ext uri="{FF2B5EF4-FFF2-40B4-BE49-F238E27FC236}">
              <a16:creationId xmlns:a16="http://schemas.microsoft.com/office/drawing/2014/main" id="{8BEE9F58-6A9F-41F0-9DA2-C04216AD51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035118" y="4549588"/>
          <a:ext cx="7772400" cy="295822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http://www.bank.gov.ua/control/uk/curmetal/detail/currency?period=daily" TargetMode="Externa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4.bin"/><Relationship Id="rId1" Type="http://schemas.openxmlformats.org/officeDocument/2006/relationships/hyperlink" Target="http://www.bank.gov.ua/control/uk/curmetal/detail/currency?period=daily" TargetMode="External"/></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printerSettings" Target="../printerSettings/printerSettings5.bin"/><Relationship Id="rId1" Type="http://schemas.openxmlformats.org/officeDocument/2006/relationships/hyperlink" Target="http://www.bank.gov.ua/control/uk/curmetal/detail/currency?period=daily" TargetMode="External"/></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6.bin"/><Relationship Id="rId1" Type="http://schemas.openxmlformats.org/officeDocument/2006/relationships/hyperlink" Target="http://www.bank.gov.ua/control/uk/curmetal/detail/currency?period=dail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2:B44"/>
  <sheetViews>
    <sheetView showGridLines="0" workbookViewId="0">
      <pane xSplit="2" ySplit="2" topLeftCell="C14" activePane="bottomRight" state="frozen"/>
      <selection pane="topRight" activeCell="C1" sqref="C1"/>
      <selection pane="bottomLeft" activeCell="A3" sqref="A3"/>
      <selection pane="bottomRight" activeCell="B8" sqref="B8"/>
    </sheetView>
  </sheetViews>
  <sheetFormatPr defaultRowHeight="11.25"/>
  <cols>
    <col min="1" max="1" width="3.1640625" customWidth="1"/>
    <col min="2" max="2" width="177.6640625" customWidth="1"/>
  </cols>
  <sheetData>
    <row r="2" spans="1:2" ht="18">
      <c r="B2" s="149" t="s">
        <v>279</v>
      </c>
    </row>
    <row r="3" spans="1:2" ht="27" customHeight="1">
      <c r="A3" s="177">
        <v>1</v>
      </c>
      <c r="B3" s="148" t="s">
        <v>343</v>
      </c>
    </row>
    <row r="4" spans="1:2" ht="12.75">
      <c r="A4" s="177">
        <v>2</v>
      </c>
      <c r="B4" s="148" t="s">
        <v>357</v>
      </c>
    </row>
    <row r="5" spans="1:2" ht="51">
      <c r="A5" s="177">
        <v>3</v>
      </c>
      <c r="B5" s="148" t="s">
        <v>358</v>
      </c>
    </row>
    <row r="6" spans="1:2" ht="55.5" customHeight="1">
      <c r="A6" s="177">
        <v>4</v>
      </c>
      <c r="B6" s="148" t="s">
        <v>346</v>
      </c>
    </row>
    <row r="7" spans="1:2" ht="40.5" customHeight="1">
      <c r="A7" s="177">
        <v>5</v>
      </c>
      <c r="B7" s="148" t="s">
        <v>363</v>
      </c>
    </row>
    <row r="8" spans="1:2" ht="153" customHeight="1">
      <c r="A8" s="177">
        <v>6</v>
      </c>
      <c r="B8" s="148" t="s">
        <v>345</v>
      </c>
    </row>
    <row r="9" spans="1:2" ht="26.25" customHeight="1">
      <c r="A9" s="177">
        <v>7</v>
      </c>
      <c r="B9" s="148" t="s">
        <v>359</v>
      </c>
    </row>
    <row r="10" spans="1:2" ht="15" customHeight="1">
      <c r="A10" s="177">
        <v>8</v>
      </c>
      <c r="B10" s="148" t="s">
        <v>356</v>
      </c>
    </row>
    <row r="11" spans="1:2" ht="25.5">
      <c r="A11" s="177">
        <v>9</v>
      </c>
      <c r="B11" s="148" t="s">
        <v>298</v>
      </c>
    </row>
    <row r="12" spans="1:2" ht="12.75">
      <c r="A12" s="177">
        <v>10</v>
      </c>
      <c r="B12" s="148" t="s">
        <v>307</v>
      </c>
    </row>
    <row r="13" spans="1:2">
      <c r="A13" s="177"/>
    </row>
    <row r="15" spans="1:2" ht="15.75">
      <c r="B15" s="183" t="s">
        <v>328</v>
      </c>
    </row>
    <row r="16" spans="1:2" ht="30">
      <c r="A16" s="138">
        <v>1</v>
      </c>
      <c r="B16" s="184" t="s">
        <v>338</v>
      </c>
    </row>
    <row r="17" spans="1:2" ht="30">
      <c r="A17" s="138">
        <v>2</v>
      </c>
      <c r="B17" s="184" t="s">
        <v>329</v>
      </c>
    </row>
    <row r="18" spans="1:2" ht="15">
      <c r="A18" s="138"/>
      <c r="B18" s="180" t="s">
        <v>312</v>
      </c>
    </row>
    <row r="19" spans="1:2" ht="15">
      <c r="A19" s="138"/>
      <c r="B19" s="180" t="s">
        <v>313</v>
      </c>
    </row>
    <row r="20" spans="1:2" ht="15">
      <c r="A20" s="138"/>
      <c r="B20" s="180" t="s">
        <v>320</v>
      </c>
    </row>
    <row r="21" spans="1:2" ht="15">
      <c r="A21" s="138"/>
      <c r="B21" s="180" t="s">
        <v>321</v>
      </c>
    </row>
    <row r="22" spans="1:2" ht="15">
      <c r="A22" s="138">
        <v>3</v>
      </c>
      <c r="B22" s="181" t="s">
        <v>322</v>
      </c>
    </row>
    <row r="23" spans="1:2" ht="15">
      <c r="A23" s="138"/>
      <c r="B23" s="179" t="s">
        <v>323</v>
      </c>
    </row>
    <row r="24" spans="1:2" ht="15">
      <c r="A24" s="138"/>
      <c r="B24" s="179" t="s">
        <v>324</v>
      </c>
    </row>
    <row r="25" spans="1:2" ht="15">
      <c r="A25" s="138"/>
      <c r="B25" s="179" t="s">
        <v>325</v>
      </c>
    </row>
    <row r="26" spans="1:2" ht="15">
      <c r="A26" s="138">
        <v>4</v>
      </c>
      <c r="B26" s="181" t="s">
        <v>319</v>
      </c>
    </row>
    <row r="27" spans="1:2" ht="15">
      <c r="A27" s="138"/>
      <c r="B27" s="179" t="s">
        <v>340</v>
      </c>
    </row>
    <row r="28" spans="1:2" ht="15">
      <c r="A28" s="138"/>
      <c r="B28" s="179" t="s">
        <v>326</v>
      </c>
    </row>
    <row r="29" spans="1:2" ht="15">
      <c r="A29" s="138"/>
      <c r="B29" s="181" t="s">
        <v>314</v>
      </c>
    </row>
    <row r="30" spans="1:2" ht="15">
      <c r="A30" s="138"/>
      <c r="B30" s="180" t="s">
        <v>315</v>
      </c>
    </row>
    <row r="31" spans="1:2" ht="15">
      <c r="A31" s="138"/>
      <c r="B31" s="180" t="s">
        <v>316</v>
      </c>
    </row>
    <row r="32" spans="1:2" ht="15">
      <c r="A32" s="138"/>
      <c r="B32" s="180" t="s">
        <v>317</v>
      </c>
    </row>
    <row r="33" spans="1:2" ht="15">
      <c r="A33" s="138"/>
      <c r="B33" s="180" t="s">
        <v>318</v>
      </c>
    </row>
    <row r="34" spans="1:2" ht="45">
      <c r="A34" s="138"/>
      <c r="B34" s="182" t="s">
        <v>327</v>
      </c>
    </row>
    <row r="35" spans="1:2" ht="15">
      <c r="A35" s="138">
        <v>5</v>
      </c>
      <c r="B35" s="181" t="s">
        <v>330</v>
      </c>
    </row>
    <row r="36" spans="1:2" ht="15">
      <c r="A36" s="138"/>
      <c r="B36" s="181"/>
    </row>
    <row r="37" spans="1:2" ht="15">
      <c r="A37" s="138"/>
      <c r="B37" s="181" t="s">
        <v>331</v>
      </c>
    </row>
    <row r="38" spans="1:2" ht="15">
      <c r="B38" s="180" t="s">
        <v>332</v>
      </c>
    </row>
    <row r="39" spans="1:2" ht="15">
      <c r="B39" s="180" t="s">
        <v>333</v>
      </c>
    </row>
    <row r="40" spans="1:2" ht="15">
      <c r="B40" s="180" t="s">
        <v>334</v>
      </c>
    </row>
    <row r="41" spans="1:2" ht="15">
      <c r="B41" s="180" t="s">
        <v>335</v>
      </c>
    </row>
    <row r="42" spans="1:2" ht="15">
      <c r="B42" s="180" t="s">
        <v>336</v>
      </c>
    </row>
    <row r="43" spans="1:2" ht="15">
      <c r="B43" s="180" t="s">
        <v>337</v>
      </c>
    </row>
    <row r="44" spans="1:2" ht="15">
      <c r="B44" s="180" t="s">
        <v>341</v>
      </c>
    </row>
  </sheetData>
  <protectedRanges>
    <protectedRange sqref="B5" name="Діапазон2"/>
    <protectedRange sqref="B7" name="Діапазон2_1_1"/>
    <protectedRange sqref="B8:B10" name="Діапазон1_2_2"/>
    <protectedRange sqref="B6" name="Діапазон2_2"/>
  </protectedRanges>
  <pageMargins left="0.7" right="0.7" top="0.75" bottom="0.75" header="0.3" footer="0.3"/>
  <pageSetup paperSize="9" orientation="portrait" horizontalDpi="300" verticalDpi="300"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outlinePr summaryRight="0"/>
  </sheetPr>
  <dimension ref="A1:AI91"/>
  <sheetViews>
    <sheetView showGridLines="0" zoomScale="90" zoomScaleNormal="90" workbookViewId="0">
      <pane xSplit="1" ySplit="2" topLeftCell="B3" activePane="bottomRight" state="frozen"/>
      <selection pane="topRight" activeCell="B1" sqref="B1"/>
      <selection pane="bottomLeft" activeCell="A3" sqref="A3"/>
      <selection pane="bottomRight" sqref="A1:Q2"/>
    </sheetView>
  </sheetViews>
  <sheetFormatPr defaultRowHeight="11.25" outlineLevelCol="1"/>
  <cols>
    <col min="1" max="1" width="33.33203125" customWidth="1"/>
    <col min="2" max="11" width="7.5" customWidth="1" outlineLevel="1"/>
    <col min="12" max="13" width="8.1640625" customWidth="1" outlineLevel="1"/>
    <col min="14" max="17" width="7.5" customWidth="1" outlineLevel="1"/>
  </cols>
  <sheetData>
    <row r="1" spans="1:34" ht="28.5" customHeight="1">
      <c r="A1" s="43" t="s">
        <v>183</v>
      </c>
      <c r="B1" s="239" t="s">
        <v>349</v>
      </c>
      <c r="C1" s="240"/>
      <c r="D1" s="216" t="s">
        <v>350</v>
      </c>
      <c r="E1" s="241"/>
      <c r="F1" s="239" t="s">
        <v>351</v>
      </c>
      <c r="G1" s="241"/>
      <c r="H1" s="242" t="s">
        <v>352</v>
      </c>
      <c r="I1" s="217"/>
      <c r="J1" s="216" t="s">
        <v>353</v>
      </c>
      <c r="K1" s="217"/>
      <c r="L1" s="216" t="s">
        <v>362</v>
      </c>
      <c r="M1" s="217"/>
      <c r="N1" s="216" t="s">
        <v>354</v>
      </c>
      <c r="O1" s="217"/>
      <c r="P1" s="216" t="s">
        <v>355</v>
      </c>
      <c r="Q1" s="217"/>
      <c r="R1" s="98"/>
      <c r="S1" s="98"/>
      <c r="T1" s="228" t="s">
        <v>108</v>
      </c>
      <c r="U1" s="229"/>
      <c r="V1" s="229"/>
      <c r="W1" s="229"/>
      <c r="X1" s="229"/>
      <c r="Y1" s="229"/>
      <c r="Z1" s="229"/>
      <c r="AA1" s="229"/>
      <c r="AB1" s="229"/>
      <c r="AC1" s="229"/>
      <c r="AD1" s="229"/>
      <c r="AE1" s="229"/>
      <c r="AF1" s="229"/>
      <c r="AG1" s="229"/>
      <c r="AH1" s="230"/>
    </row>
    <row r="2" spans="1:34" ht="15" thickBot="1">
      <c r="A2" s="220" t="s">
        <v>184</v>
      </c>
      <c r="B2" s="220"/>
      <c r="C2" s="220"/>
      <c r="D2" s="220"/>
      <c r="E2" s="220"/>
      <c r="F2" s="220"/>
      <c r="G2" s="220"/>
      <c r="H2" s="220"/>
      <c r="I2" s="220"/>
      <c r="J2" s="220"/>
      <c r="K2" s="220"/>
      <c r="L2" s="220"/>
      <c r="M2" s="220"/>
      <c r="N2" s="220"/>
      <c r="O2" s="220"/>
      <c r="P2" s="220"/>
      <c r="Q2" s="220"/>
      <c r="R2" s="98"/>
      <c r="S2" s="98"/>
      <c r="T2" s="231"/>
      <c r="U2" s="232"/>
      <c r="V2" s="232"/>
      <c r="W2" s="232"/>
      <c r="X2" s="232"/>
      <c r="Y2" s="232"/>
      <c r="Z2" s="232"/>
      <c r="AA2" s="232"/>
      <c r="AB2" s="232"/>
      <c r="AC2" s="232"/>
      <c r="AD2" s="232"/>
      <c r="AE2" s="232"/>
      <c r="AF2" s="232"/>
      <c r="AG2" s="232"/>
      <c r="AH2" s="233"/>
    </row>
    <row r="3" spans="1:34" ht="12" thickBot="1">
      <c r="A3" s="44" t="s">
        <v>185</v>
      </c>
      <c r="B3" s="237">
        <v>0.98499999999999999</v>
      </c>
      <c r="C3" s="238"/>
      <c r="D3" s="237">
        <v>0.98650000000000004</v>
      </c>
      <c r="E3" s="238"/>
      <c r="F3" s="237">
        <v>0.98650000000000004</v>
      </c>
      <c r="G3" s="238"/>
      <c r="H3" s="221">
        <v>0.98650000000000004</v>
      </c>
      <c r="I3" s="222"/>
      <c r="J3" s="221">
        <v>0.98650000000000004</v>
      </c>
      <c r="K3" s="222"/>
      <c r="L3" s="221">
        <v>0.98599999999999999</v>
      </c>
      <c r="M3" s="222"/>
      <c r="N3" s="221">
        <v>0.98799999999999999</v>
      </c>
      <c r="O3" s="222"/>
      <c r="P3" s="221">
        <v>0.98699999999999999</v>
      </c>
      <c r="Q3" s="222"/>
      <c r="R3" s="98"/>
      <c r="S3" s="98"/>
    </row>
    <row r="4" spans="1:34" ht="13.5" thickBot="1">
      <c r="A4" s="45" t="s">
        <v>186</v>
      </c>
      <c r="B4" s="237">
        <v>0.98</v>
      </c>
      <c r="C4" s="238"/>
      <c r="D4" s="218">
        <v>0.98299999999999998</v>
      </c>
      <c r="E4" s="219"/>
      <c r="F4" s="218">
        <v>0.98299999999999998</v>
      </c>
      <c r="G4" s="219"/>
      <c r="H4" s="223">
        <v>0.98299999999999998</v>
      </c>
      <c r="I4" s="224"/>
      <c r="J4" s="223">
        <v>0.98299999999999998</v>
      </c>
      <c r="K4" s="224"/>
      <c r="L4" s="223">
        <v>0.98299999999999998</v>
      </c>
      <c r="M4" s="224"/>
      <c r="N4" s="223">
        <v>0.98599999999999999</v>
      </c>
      <c r="O4" s="224"/>
      <c r="P4" s="223">
        <v>0.98499999999999999</v>
      </c>
      <c r="Q4" s="224"/>
      <c r="R4" s="98"/>
      <c r="S4" s="98"/>
      <c r="W4" s="234" t="s">
        <v>109</v>
      </c>
      <c r="X4" s="235"/>
      <c r="Y4" s="235"/>
      <c r="Z4" s="235"/>
      <c r="AA4" s="235"/>
      <c r="AB4" s="235"/>
      <c r="AC4" s="235"/>
      <c r="AD4" s="235"/>
      <c r="AE4" s="236"/>
    </row>
    <row r="5" spans="1:34" ht="12.75">
      <c r="A5" s="205"/>
      <c r="B5" s="205"/>
      <c r="C5" s="205"/>
      <c r="D5" s="205"/>
      <c r="E5" s="205"/>
      <c r="F5" s="205"/>
      <c r="G5" s="205"/>
      <c r="H5" s="205"/>
      <c r="I5" s="205"/>
      <c r="J5" s="98"/>
      <c r="K5" s="98"/>
      <c r="L5" s="98"/>
      <c r="M5" s="98"/>
      <c r="N5" s="98"/>
      <c r="O5" s="98"/>
      <c r="P5" s="98"/>
      <c r="Q5" s="98"/>
      <c r="R5" s="98"/>
      <c r="S5" s="98"/>
    </row>
    <row r="6" spans="1:34" ht="14.25">
      <c r="A6" s="220" t="s">
        <v>187</v>
      </c>
      <c r="B6" s="220"/>
      <c r="C6" s="220"/>
      <c r="D6" s="220"/>
      <c r="E6" s="220"/>
      <c r="F6" s="220"/>
      <c r="G6" s="220"/>
      <c r="H6" s="220"/>
      <c r="I6" s="220"/>
      <c r="J6" s="220"/>
      <c r="K6" s="220"/>
      <c r="L6" s="220"/>
      <c r="M6" s="220"/>
      <c r="N6" s="220"/>
      <c r="O6" s="220"/>
      <c r="P6" s="220"/>
      <c r="Q6" s="220"/>
      <c r="R6" s="98"/>
      <c r="S6" s="98"/>
    </row>
    <row r="7" spans="1:34">
      <c r="A7" s="99" t="s">
        <v>61</v>
      </c>
      <c r="B7" s="46"/>
      <c r="C7" s="47"/>
      <c r="D7" s="46"/>
      <c r="E7" s="47"/>
      <c r="F7" s="46"/>
      <c r="G7" s="89"/>
      <c r="H7" s="46"/>
      <c r="I7" s="89"/>
      <c r="J7" s="46"/>
      <c r="K7" s="89"/>
      <c r="L7" s="46"/>
      <c r="M7" s="89"/>
      <c r="N7" s="46"/>
      <c r="O7" s="89"/>
      <c r="P7" s="46"/>
      <c r="Q7" s="89"/>
      <c r="R7" s="98"/>
      <c r="S7" s="98"/>
    </row>
    <row r="8" spans="1:34">
      <c r="A8" s="95" t="s">
        <v>188</v>
      </c>
      <c r="B8" s="100">
        <v>1080</v>
      </c>
      <c r="C8" s="48" t="s">
        <v>62</v>
      </c>
      <c r="D8" s="48">
        <v>1080</v>
      </c>
      <c r="E8" s="48" t="s">
        <v>62</v>
      </c>
      <c r="F8" s="48">
        <v>1080</v>
      </c>
      <c r="G8" s="48" t="s">
        <v>62</v>
      </c>
      <c r="H8" s="48">
        <v>1080</v>
      </c>
      <c r="I8" s="48" t="s">
        <v>62</v>
      </c>
      <c r="J8" s="48">
        <v>1100</v>
      </c>
      <c r="K8" s="48" t="s">
        <v>62</v>
      </c>
      <c r="L8" s="48">
        <v>1100</v>
      </c>
      <c r="M8" s="48" t="s">
        <v>62</v>
      </c>
      <c r="N8" s="48">
        <v>1100</v>
      </c>
      <c r="O8" s="48" t="s">
        <v>62</v>
      </c>
      <c r="P8" s="48">
        <v>1100</v>
      </c>
      <c r="Q8" s="48" t="s">
        <v>62</v>
      </c>
      <c r="R8" s="98"/>
      <c r="S8" s="98"/>
    </row>
    <row r="9" spans="1:34" ht="19.5">
      <c r="A9" s="95" t="s">
        <v>189</v>
      </c>
      <c r="B9" s="100" t="s">
        <v>101</v>
      </c>
      <c r="C9" s="48" t="s">
        <v>62</v>
      </c>
      <c r="D9" s="100" t="s">
        <v>101</v>
      </c>
      <c r="E9" s="48" t="s">
        <v>62</v>
      </c>
      <c r="F9" s="100" t="s">
        <v>101</v>
      </c>
      <c r="G9" s="48" t="s">
        <v>62</v>
      </c>
      <c r="H9" s="100" t="s">
        <v>101</v>
      </c>
      <c r="I9" s="48" t="s">
        <v>62</v>
      </c>
      <c r="J9" s="48" t="s">
        <v>99</v>
      </c>
      <c r="K9" s="48" t="s">
        <v>62</v>
      </c>
      <c r="L9" s="48" t="s">
        <v>99</v>
      </c>
      <c r="M9" s="48" t="s">
        <v>62</v>
      </c>
      <c r="N9" s="48" t="s">
        <v>99</v>
      </c>
      <c r="O9" s="48" t="s">
        <v>62</v>
      </c>
      <c r="P9" s="48" t="s">
        <v>99</v>
      </c>
      <c r="Q9" s="48" t="s">
        <v>62</v>
      </c>
      <c r="R9" s="98"/>
      <c r="S9" s="98"/>
    </row>
    <row r="10" spans="1:34" ht="12.75" customHeight="1">
      <c r="A10" s="45" t="s">
        <v>190</v>
      </c>
      <c r="B10" s="58">
        <v>200</v>
      </c>
      <c r="C10" s="48" t="s">
        <v>62</v>
      </c>
      <c r="D10" s="58">
        <v>200</v>
      </c>
      <c r="E10" s="48" t="s">
        <v>62</v>
      </c>
      <c r="F10" s="58">
        <v>200</v>
      </c>
      <c r="G10" s="48" t="s">
        <v>62</v>
      </c>
      <c r="H10" s="58">
        <v>200</v>
      </c>
      <c r="I10" s="48" t="s">
        <v>62</v>
      </c>
      <c r="J10" s="98">
        <v>200</v>
      </c>
      <c r="K10" s="48" t="s">
        <v>62</v>
      </c>
      <c r="L10" s="58">
        <v>200</v>
      </c>
      <c r="M10" s="48" t="s">
        <v>62</v>
      </c>
      <c r="N10" s="58">
        <v>200</v>
      </c>
      <c r="O10" s="48" t="s">
        <v>62</v>
      </c>
      <c r="P10" s="58">
        <v>200</v>
      </c>
      <c r="Q10" s="48" t="s">
        <v>62</v>
      </c>
      <c r="R10" s="98"/>
      <c r="S10" s="98"/>
    </row>
    <row r="11" spans="1:34">
      <c r="A11" s="45" t="s">
        <v>191</v>
      </c>
      <c r="B11" s="58">
        <v>600</v>
      </c>
      <c r="C11" s="59" t="s">
        <v>102</v>
      </c>
      <c r="D11" s="58">
        <v>600</v>
      </c>
      <c r="E11" s="59" t="s">
        <v>102</v>
      </c>
      <c r="F11" s="58">
        <v>600</v>
      </c>
      <c r="G11" s="59" t="s">
        <v>102</v>
      </c>
      <c r="H11" s="58">
        <v>600</v>
      </c>
      <c r="I11" s="59" t="s">
        <v>102</v>
      </c>
      <c r="J11" s="98">
        <v>600</v>
      </c>
      <c r="K11" s="98" t="s">
        <v>62</v>
      </c>
      <c r="L11" s="98">
        <v>600</v>
      </c>
      <c r="M11" s="98" t="s">
        <v>62</v>
      </c>
      <c r="N11" s="98">
        <v>600</v>
      </c>
      <c r="O11" s="98" t="s">
        <v>62</v>
      </c>
      <c r="P11" s="98">
        <v>600</v>
      </c>
      <c r="Q11" s="98" t="s">
        <v>62</v>
      </c>
      <c r="R11" s="98"/>
      <c r="S11" s="98"/>
    </row>
    <row r="12" spans="1:34">
      <c r="A12" s="45" t="s">
        <v>192</v>
      </c>
      <c r="B12" s="58">
        <v>22</v>
      </c>
      <c r="C12" s="58" t="s">
        <v>67</v>
      </c>
      <c r="D12" s="58">
        <v>22</v>
      </c>
      <c r="E12" s="58" t="s">
        <v>67</v>
      </c>
      <c r="F12" s="58">
        <v>22</v>
      </c>
      <c r="G12" s="58" t="s">
        <v>67</v>
      </c>
      <c r="H12" s="58">
        <v>22</v>
      </c>
      <c r="I12" s="58" t="s">
        <v>67</v>
      </c>
      <c r="J12" s="58">
        <v>26</v>
      </c>
      <c r="K12" s="58" t="s">
        <v>67</v>
      </c>
      <c r="L12" s="58">
        <v>26</v>
      </c>
      <c r="M12" s="58" t="s">
        <v>67</v>
      </c>
      <c r="N12" s="58">
        <v>26</v>
      </c>
      <c r="O12" s="58" t="s">
        <v>67</v>
      </c>
      <c r="P12" s="58">
        <v>22</v>
      </c>
      <c r="Q12" s="58" t="s">
        <v>67</v>
      </c>
      <c r="R12" s="98"/>
      <c r="S12" s="98"/>
    </row>
    <row r="13" spans="1:34">
      <c r="A13" s="45" t="s">
        <v>193</v>
      </c>
      <c r="B13" s="208" t="s">
        <v>194</v>
      </c>
      <c r="C13" s="209"/>
      <c r="D13" s="209"/>
      <c r="E13" s="209"/>
      <c r="F13" s="209"/>
      <c r="G13" s="209"/>
      <c r="H13" s="209"/>
      <c r="I13" s="209"/>
      <c r="J13" s="202" t="s">
        <v>100</v>
      </c>
      <c r="K13" s="202"/>
      <c r="L13" s="202"/>
      <c r="M13" s="202"/>
      <c r="N13" s="202"/>
      <c r="O13" s="202"/>
      <c r="P13" s="98"/>
      <c r="Q13" s="98"/>
      <c r="R13" s="98"/>
      <c r="S13" s="98"/>
    </row>
    <row r="14" spans="1:34">
      <c r="A14" s="45" t="s">
        <v>195</v>
      </c>
      <c r="B14" s="212">
        <v>2</v>
      </c>
      <c r="C14" s="213"/>
      <c r="D14" s="212">
        <v>2</v>
      </c>
      <c r="E14" s="213"/>
      <c r="F14" s="212">
        <v>2</v>
      </c>
      <c r="G14" s="213"/>
      <c r="H14" s="212">
        <v>2</v>
      </c>
      <c r="I14" s="213"/>
      <c r="J14" s="212">
        <v>4</v>
      </c>
      <c r="K14" s="213"/>
      <c r="L14" s="212">
        <v>4</v>
      </c>
      <c r="M14" s="213"/>
      <c r="N14" s="212">
        <v>4</v>
      </c>
      <c r="O14" s="213"/>
      <c r="P14" s="212">
        <v>12</v>
      </c>
      <c r="Q14" s="213"/>
      <c r="R14" s="98"/>
      <c r="S14" s="98"/>
    </row>
    <row r="15" spans="1:34">
      <c r="A15" s="45" t="s">
        <v>196</v>
      </c>
      <c r="B15" s="212">
        <v>4</v>
      </c>
      <c r="C15" s="213"/>
      <c r="D15" s="212">
        <v>4</v>
      </c>
      <c r="E15" s="213"/>
      <c r="F15" s="212">
        <v>4</v>
      </c>
      <c r="G15" s="213"/>
      <c r="H15" s="212">
        <v>4</v>
      </c>
      <c r="I15" s="213"/>
      <c r="J15" s="212">
        <v>8</v>
      </c>
      <c r="K15" s="213"/>
      <c r="L15" s="212">
        <v>8</v>
      </c>
      <c r="M15" s="213"/>
      <c r="N15" s="212">
        <v>8</v>
      </c>
      <c r="O15" s="213"/>
      <c r="P15" s="212">
        <v>6</v>
      </c>
      <c r="Q15" s="213"/>
      <c r="R15" s="98"/>
      <c r="S15" s="98"/>
    </row>
    <row r="16" spans="1:34" ht="12.75">
      <c r="A16" s="205"/>
      <c r="B16" s="205"/>
      <c r="C16" s="205"/>
      <c r="D16" s="205"/>
      <c r="E16" s="205"/>
      <c r="F16" s="205"/>
      <c r="G16" s="205"/>
      <c r="H16" s="205"/>
      <c r="I16" s="205"/>
      <c r="J16" s="98"/>
      <c r="K16" s="98"/>
      <c r="L16" s="98"/>
      <c r="M16" s="98"/>
      <c r="N16" s="98"/>
      <c r="O16" s="98"/>
      <c r="P16" s="98"/>
      <c r="Q16" s="98"/>
      <c r="R16" s="98"/>
      <c r="S16" s="98"/>
    </row>
    <row r="17" spans="1:31" ht="14.25">
      <c r="A17" s="220" t="s">
        <v>197</v>
      </c>
      <c r="B17" s="220"/>
      <c r="C17" s="220"/>
      <c r="D17" s="220"/>
      <c r="E17" s="220"/>
      <c r="F17" s="220"/>
      <c r="G17" s="220"/>
      <c r="H17" s="220"/>
      <c r="I17" s="220"/>
      <c r="J17" s="220"/>
      <c r="K17" s="220"/>
      <c r="L17" s="220"/>
      <c r="M17" s="220"/>
      <c r="N17" s="220"/>
      <c r="O17" s="220"/>
      <c r="P17" s="220"/>
      <c r="Q17" s="220"/>
      <c r="R17" s="98"/>
      <c r="S17" s="98"/>
    </row>
    <row r="18" spans="1:31">
      <c r="A18" s="44" t="s">
        <v>198</v>
      </c>
      <c r="B18" s="226" t="s">
        <v>199</v>
      </c>
      <c r="C18" s="227"/>
      <c r="D18" s="227"/>
      <c r="E18" s="227"/>
      <c r="F18" s="227"/>
      <c r="G18" s="227"/>
      <c r="H18" s="227"/>
      <c r="I18" s="227"/>
      <c r="J18" s="98"/>
      <c r="K18" s="98"/>
      <c r="L18" s="98"/>
      <c r="M18" s="98"/>
      <c r="N18" s="98"/>
      <c r="O18" s="98"/>
      <c r="P18" s="98"/>
      <c r="Q18" s="98"/>
      <c r="R18" s="98"/>
      <c r="S18" s="98"/>
    </row>
    <row r="19" spans="1:31">
      <c r="A19" s="45" t="s">
        <v>200</v>
      </c>
      <c r="B19" s="49">
        <v>12</v>
      </c>
      <c r="C19" s="50" t="s">
        <v>63</v>
      </c>
      <c r="D19" s="49">
        <v>15</v>
      </c>
      <c r="E19" s="50" t="s">
        <v>63</v>
      </c>
      <c r="F19" s="49">
        <v>17</v>
      </c>
      <c r="G19" s="88" t="s">
        <v>63</v>
      </c>
      <c r="H19" s="51">
        <v>20</v>
      </c>
      <c r="I19" s="88" t="s">
        <v>64</v>
      </c>
      <c r="J19" s="51">
        <v>30</v>
      </c>
      <c r="K19" s="88" t="s">
        <v>64</v>
      </c>
      <c r="L19" s="51">
        <v>36</v>
      </c>
      <c r="M19" s="88" t="s">
        <v>64</v>
      </c>
      <c r="N19" s="51">
        <v>40</v>
      </c>
      <c r="O19" s="88" t="s">
        <v>64</v>
      </c>
      <c r="P19" s="51">
        <v>50</v>
      </c>
      <c r="Q19" s="88" t="s">
        <v>64</v>
      </c>
      <c r="R19" s="98"/>
      <c r="S19" s="98"/>
    </row>
    <row r="20" spans="1:31">
      <c r="A20" s="45" t="s">
        <v>201</v>
      </c>
      <c r="B20" s="49">
        <v>13.2</v>
      </c>
      <c r="C20" s="50" t="s">
        <v>65</v>
      </c>
      <c r="D20" s="49">
        <v>16.5</v>
      </c>
      <c r="E20" s="50" t="s">
        <v>65</v>
      </c>
      <c r="F20" s="49">
        <v>18.7</v>
      </c>
      <c r="G20" s="88" t="s">
        <v>65</v>
      </c>
      <c r="H20" s="51">
        <v>22</v>
      </c>
      <c r="I20" s="88" t="s">
        <v>66</v>
      </c>
      <c r="J20" s="51">
        <v>33</v>
      </c>
      <c r="K20" s="88" t="s">
        <v>66</v>
      </c>
      <c r="L20" s="51">
        <v>40</v>
      </c>
      <c r="M20" s="88" t="s">
        <v>66</v>
      </c>
      <c r="N20" s="51">
        <v>44</v>
      </c>
      <c r="O20" s="88" t="s">
        <v>66</v>
      </c>
      <c r="P20" s="51">
        <v>55</v>
      </c>
      <c r="Q20" s="88" t="s">
        <v>66</v>
      </c>
      <c r="R20" s="98"/>
      <c r="S20" s="98"/>
    </row>
    <row r="21" spans="1:31">
      <c r="A21" s="45" t="s">
        <v>202</v>
      </c>
      <c r="B21" s="203" t="s">
        <v>203</v>
      </c>
      <c r="C21" s="204"/>
      <c r="D21" s="204"/>
      <c r="E21" s="204"/>
      <c r="F21" s="204"/>
      <c r="G21" s="204"/>
      <c r="H21" s="204"/>
      <c r="I21" s="204"/>
      <c r="J21" s="203" t="s">
        <v>103</v>
      </c>
      <c r="K21" s="204"/>
      <c r="L21" s="204"/>
      <c r="M21" s="204"/>
      <c r="N21" s="204"/>
      <c r="O21" s="204"/>
      <c r="P21" s="98"/>
      <c r="Q21" s="98"/>
      <c r="R21" s="98"/>
      <c r="S21" s="98"/>
    </row>
    <row r="22" spans="1:31">
      <c r="A22" s="45" t="s">
        <v>204</v>
      </c>
      <c r="B22" s="203" t="s">
        <v>205</v>
      </c>
      <c r="C22" s="204"/>
      <c r="D22" s="204"/>
      <c r="E22" s="204"/>
      <c r="F22" s="204"/>
      <c r="G22" s="204"/>
      <c r="H22" s="204"/>
      <c r="I22" s="204"/>
      <c r="J22" s="98"/>
      <c r="K22" s="98"/>
      <c r="L22" s="98"/>
      <c r="M22" s="98"/>
      <c r="N22" s="98"/>
      <c r="O22" s="98"/>
      <c r="P22" s="98"/>
      <c r="Q22" s="98"/>
      <c r="R22" s="98"/>
      <c r="S22" s="98"/>
    </row>
    <row r="23" spans="1:31">
      <c r="A23" s="45" t="s">
        <v>206</v>
      </c>
      <c r="B23" s="52">
        <v>20</v>
      </c>
      <c r="C23" s="52" t="s">
        <v>67</v>
      </c>
      <c r="D23" s="53" t="s">
        <v>68</v>
      </c>
      <c r="E23" s="50" t="s">
        <v>67</v>
      </c>
      <c r="F23" s="53" t="s">
        <v>69</v>
      </c>
      <c r="G23" s="88" t="s">
        <v>70</v>
      </c>
      <c r="H23" s="88" t="s">
        <v>71</v>
      </c>
      <c r="I23" s="88" t="s">
        <v>67</v>
      </c>
      <c r="J23" s="88">
        <v>48</v>
      </c>
      <c r="K23" s="88" t="s">
        <v>67</v>
      </c>
      <c r="L23" s="98"/>
      <c r="M23" s="98"/>
      <c r="N23" s="98"/>
      <c r="O23" s="98"/>
      <c r="P23" s="98"/>
      <c r="Q23" s="98"/>
      <c r="R23" s="98"/>
      <c r="S23" s="98"/>
    </row>
    <row r="24" spans="1:31">
      <c r="A24" s="45" t="s">
        <v>207</v>
      </c>
      <c r="B24" s="208" t="s">
        <v>208</v>
      </c>
      <c r="C24" s="209"/>
      <c r="D24" s="209"/>
      <c r="E24" s="209"/>
      <c r="F24" s="209"/>
      <c r="G24" s="209"/>
      <c r="H24" s="209"/>
      <c r="I24" s="209"/>
      <c r="J24" s="98"/>
      <c r="K24" s="98"/>
      <c r="L24" s="98"/>
      <c r="M24" s="98"/>
      <c r="N24" s="98"/>
      <c r="O24" s="98"/>
      <c r="P24" s="98"/>
      <c r="Q24" s="98"/>
      <c r="R24" s="98"/>
      <c r="S24" s="98"/>
    </row>
    <row r="25" spans="1:31" ht="12.75">
      <c r="A25" s="45" t="s">
        <v>209</v>
      </c>
      <c r="B25" s="245" t="s">
        <v>210</v>
      </c>
      <c r="C25" s="246"/>
      <c r="D25" s="246"/>
      <c r="E25" s="246"/>
      <c r="F25" s="246"/>
      <c r="G25" s="246"/>
      <c r="H25" s="246"/>
      <c r="I25" s="246"/>
      <c r="J25" s="98"/>
      <c r="K25" s="98"/>
      <c r="L25" s="98"/>
      <c r="M25" s="98"/>
      <c r="N25" s="98"/>
      <c r="O25" s="98"/>
      <c r="P25" s="98"/>
      <c r="Q25" s="98"/>
      <c r="R25" s="98"/>
      <c r="S25" s="98"/>
    </row>
    <row r="26" spans="1:31" ht="12.75">
      <c r="A26" s="205"/>
      <c r="B26" s="205"/>
      <c r="C26" s="205"/>
      <c r="D26" s="205"/>
      <c r="E26" s="205"/>
      <c r="F26" s="205"/>
      <c r="G26" s="205"/>
      <c r="H26" s="205"/>
      <c r="I26" s="205"/>
      <c r="J26" s="98"/>
      <c r="K26" s="98"/>
      <c r="L26" s="98"/>
      <c r="M26" s="98"/>
      <c r="N26" s="98"/>
      <c r="O26" s="98"/>
      <c r="P26" s="98"/>
      <c r="Q26" s="98"/>
      <c r="R26" s="98"/>
      <c r="S26" s="98"/>
    </row>
    <row r="27" spans="1:31" ht="14.25">
      <c r="A27" s="244" t="s">
        <v>211</v>
      </c>
      <c r="B27" s="244"/>
      <c r="C27" s="244"/>
      <c r="D27" s="244"/>
      <c r="E27" s="244"/>
      <c r="F27" s="244"/>
      <c r="G27" s="244"/>
      <c r="H27" s="244"/>
      <c r="I27" s="244"/>
      <c r="J27" s="244"/>
      <c r="K27" s="244"/>
      <c r="L27" s="244"/>
      <c r="M27" s="244"/>
      <c r="N27" s="244"/>
      <c r="O27" s="244"/>
      <c r="P27" s="244"/>
      <c r="Q27" s="244"/>
      <c r="R27" s="98"/>
      <c r="S27" s="98"/>
    </row>
    <row r="28" spans="1:31" ht="12" thickBot="1">
      <c r="A28" s="44" t="s">
        <v>212</v>
      </c>
      <c r="B28" s="226" t="s">
        <v>213</v>
      </c>
      <c r="C28" s="227"/>
      <c r="D28" s="227"/>
      <c r="E28" s="227"/>
      <c r="F28" s="227"/>
      <c r="G28" s="227"/>
      <c r="H28" s="227"/>
      <c r="I28" s="227"/>
      <c r="J28" s="98"/>
      <c r="K28" s="98"/>
      <c r="L28" s="98"/>
      <c r="M28" s="98"/>
      <c r="N28" s="98"/>
      <c r="O28" s="98"/>
      <c r="P28" s="98"/>
      <c r="Q28" s="98"/>
      <c r="R28" s="98"/>
      <c r="S28" s="98"/>
    </row>
    <row r="29" spans="1:31" ht="13.5" thickBot="1">
      <c r="A29" s="45" t="s">
        <v>214</v>
      </c>
      <c r="B29" s="203" t="s">
        <v>213</v>
      </c>
      <c r="C29" s="204"/>
      <c r="D29" s="204"/>
      <c r="E29" s="204"/>
      <c r="F29" s="204"/>
      <c r="G29" s="204"/>
      <c r="H29" s="204"/>
      <c r="I29" s="204"/>
      <c r="J29" s="98"/>
      <c r="K29" s="98"/>
      <c r="L29" s="98"/>
      <c r="M29" s="98"/>
      <c r="N29" s="98"/>
      <c r="O29" s="98"/>
      <c r="P29" s="98"/>
      <c r="Q29" s="98"/>
      <c r="R29" s="98"/>
      <c r="S29" s="98"/>
      <c r="W29" s="234" t="s">
        <v>110</v>
      </c>
      <c r="X29" s="235"/>
      <c r="Y29" s="235"/>
      <c r="Z29" s="235"/>
      <c r="AA29" s="235"/>
      <c r="AB29" s="235"/>
      <c r="AC29" s="235"/>
      <c r="AD29" s="235"/>
      <c r="AE29" s="236"/>
    </row>
    <row r="30" spans="1:31">
      <c r="A30" s="45" t="s">
        <v>215</v>
      </c>
      <c r="B30" s="203" t="s">
        <v>213</v>
      </c>
      <c r="C30" s="204"/>
      <c r="D30" s="204"/>
      <c r="E30" s="204"/>
      <c r="F30" s="204"/>
      <c r="G30" s="204"/>
      <c r="H30" s="204"/>
      <c r="I30" s="204"/>
      <c r="J30" s="98"/>
      <c r="K30" s="98"/>
      <c r="L30" s="98"/>
      <c r="M30" s="98"/>
      <c r="N30" s="98"/>
      <c r="O30" s="98"/>
      <c r="P30" s="98"/>
      <c r="Q30" s="98"/>
      <c r="R30" s="98"/>
      <c r="S30" s="98"/>
    </row>
    <row r="31" spans="1:31">
      <c r="A31" s="45" t="s">
        <v>216</v>
      </c>
      <c r="B31" s="203" t="s">
        <v>213</v>
      </c>
      <c r="C31" s="204"/>
      <c r="D31" s="204"/>
      <c r="E31" s="204"/>
      <c r="F31" s="204"/>
      <c r="G31" s="204"/>
      <c r="H31" s="204"/>
      <c r="I31" s="204"/>
      <c r="J31" s="98"/>
      <c r="K31" s="98"/>
      <c r="L31" s="98"/>
      <c r="M31" s="98"/>
      <c r="N31" s="98"/>
      <c r="O31" s="98"/>
      <c r="P31" s="98"/>
      <c r="Q31" s="98"/>
      <c r="R31" s="98"/>
      <c r="S31" s="98"/>
    </row>
    <row r="32" spans="1:31">
      <c r="A32" s="45" t="s">
        <v>217</v>
      </c>
      <c r="B32" s="203" t="s">
        <v>213</v>
      </c>
      <c r="C32" s="204"/>
      <c r="D32" s="204"/>
      <c r="E32" s="204"/>
      <c r="F32" s="204"/>
      <c r="G32" s="204"/>
      <c r="H32" s="204"/>
      <c r="I32" s="204"/>
      <c r="J32" s="98"/>
      <c r="K32" s="98"/>
      <c r="L32" s="98"/>
      <c r="M32" s="98"/>
      <c r="N32" s="98"/>
      <c r="O32" s="98"/>
      <c r="P32" s="98"/>
      <c r="Q32" s="98"/>
      <c r="R32" s="98"/>
      <c r="S32" s="98"/>
    </row>
    <row r="33" spans="1:19">
      <c r="A33" s="45" t="s">
        <v>218</v>
      </c>
      <c r="B33" s="208" t="s">
        <v>213</v>
      </c>
      <c r="C33" s="209"/>
      <c r="D33" s="209"/>
      <c r="E33" s="209"/>
      <c r="F33" s="209"/>
      <c r="G33" s="209"/>
      <c r="H33" s="209"/>
      <c r="I33" s="209"/>
      <c r="J33" s="98"/>
      <c r="K33" s="98"/>
      <c r="L33" s="98"/>
      <c r="M33" s="98"/>
      <c r="N33" s="98"/>
      <c r="O33" s="98"/>
      <c r="P33" s="98"/>
      <c r="Q33" s="98"/>
      <c r="R33" s="98"/>
      <c r="S33" s="98"/>
    </row>
    <row r="34" spans="1:19">
      <c r="A34" s="96" t="s">
        <v>219</v>
      </c>
      <c r="B34" s="203" t="s">
        <v>213</v>
      </c>
      <c r="C34" s="204"/>
      <c r="D34" s="204"/>
      <c r="E34" s="204"/>
      <c r="F34" s="204"/>
      <c r="G34" s="204"/>
      <c r="H34" s="204"/>
      <c r="I34" s="204"/>
      <c r="J34" s="98"/>
      <c r="K34" s="98"/>
      <c r="L34" s="98"/>
      <c r="M34" s="98"/>
      <c r="N34" s="98"/>
      <c r="O34" s="98"/>
      <c r="P34" s="98"/>
      <c r="Q34" s="98"/>
      <c r="R34" s="98"/>
      <c r="S34" s="98"/>
    </row>
    <row r="35" spans="1:19">
      <c r="A35" s="96" t="s">
        <v>220</v>
      </c>
      <c r="B35" s="203" t="s">
        <v>213</v>
      </c>
      <c r="C35" s="204"/>
      <c r="D35" s="204"/>
      <c r="E35" s="204"/>
      <c r="F35" s="204"/>
      <c r="G35" s="204"/>
      <c r="H35" s="204"/>
      <c r="I35" s="204"/>
      <c r="J35" s="98"/>
      <c r="K35" s="98"/>
      <c r="L35" s="98"/>
      <c r="M35" s="98"/>
      <c r="N35" s="98"/>
      <c r="O35" s="98"/>
      <c r="P35" s="98"/>
      <c r="Q35" s="98"/>
      <c r="R35" s="98"/>
      <c r="S35" s="98"/>
    </row>
    <row r="36" spans="1:19">
      <c r="A36" s="45" t="s">
        <v>221</v>
      </c>
      <c r="B36" s="203" t="s">
        <v>213</v>
      </c>
      <c r="C36" s="204"/>
      <c r="D36" s="204"/>
      <c r="E36" s="204"/>
      <c r="F36" s="204"/>
      <c r="G36" s="204"/>
      <c r="H36" s="204"/>
      <c r="I36" s="204"/>
      <c r="J36" s="98"/>
      <c r="K36" s="98"/>
      <c r="L36" s="98"/>
      <c r="M36" s="98"/>
      <c r="N36" s="98"/>
      <c r="O36" s="98"/>
      <c r="P36" s="98"/>
      <c r="Q36" s="98"/>
      <c r="R36" s="98"/>
      <c r="S36" s="98"/>
    </row>
    <row r="37" spans="1:19">
      <c r="A37" s="45" t="s">
        <v>222</v>
      </c>
      <c r="B37" s="203" t="s">
        <v>213</v>
      </c>
      <c r="C37" s="204"/>
      <c r="D37" s="204"/>
      <c r="E37" s="204"/>
      <c r="F37" s="204"/>
      <c r="G37" s="204"/>
      <c r="H37" s="204"/>
      <c r="I37" s="204"/>
      <c r="J37" s="98"/>
      <c r="K37" s="98"/>
      <c r="L37" s="98"/>
      <c r="M37" s="98"/>
      <c r="N37" s="98"/>
      <c r="O37" s="98"/>
      <c r="P37" s="98"/>
      <c r="Q37" s="98"/>
      <c r="R37" s="98"/>
      <c r="S37" s="98"/>
    </row>
    <row r="38" spans="1:19">
      <c r="A38" s="45" t="s">
        <v>223</v>
      </c>
      <c r="B38" s="203" t="s">
        <v>213</v>
      </c>
      <c r="C38" s="204"/>
      <c r="D38" s="204"/>
      <c r="E38" s="204"/>
      <c r="F38" s="204"/>
      <c r="G38" s="204"/>
      <c r="H38" s="204"/>
      <c r="I38" s="204"/>
      <c r="J38" s="98"/>
      <c r="K38" s="98"/>
      <c r="L38" s="98"/>
      <c r="M38" s="98"/>
      <c r="N38" s="98"/>
      <c r="O38" s="98"/>
      <c r="P38" s="98"/>
      <c r="Q38" s="98"/>
      <c r="R38" s="98"/>
      <c r="S38" s="98"/>
    </row>
    <row r="39" spans="1:19" ht="12.75">
      <c r="A39" s="205"/>
      <c r="B39" s="205"/>
      <c r="C39" s="205"/>
      <c r="D39" s="205"/>
      <c r="E39" s="205"/>
      <c r="F39" s="205"/>
      <c r="G39" s="205"/>
      <c r="H39" s="205"/>
      <c r="I39" s="205"/>
      <c r="J39" s="98"/>
      <c r="K39" s="98"/>
      <c r="L39" s="98"/>
      <c r="M39" s="98"/>
      <c r="N39" s="98"/>
      <c r="O39" s="98"/>
      <c r="P39" s="98"/>
      <c r="Q39" s="98"/>
      <c r="R39" s="98"/>
      <c r="S39" s="98"/>
    </row>
    <row r="40" spans="1:19" ht="12.75">
      <c r="A40" s="201" t="s">
        <v>224</v>
      </c>
      <c r="B40" s="201"/>
      <c r="C40" s="201"/>
      <c r="D40" s="201"/>
      <c r="E40" s="201"/>
      <c r="F40" s="201"/>
      <c r="G40" s="201"/>
      <c r="H40" s="201"/>
      <c r="I40" s="201"/>
      <c r="J40" s="201"/>
      <c r="K40" s="201"/>
      <c r="L40" s="201"/>
      <c r="M40" s="201"/>
      <c r="N40" s="201"/>
      <c r="O40" s="201"/>
      <c r="P40" s="201"/>
      <c r="Q40" s="201"/>
      <c r="R40" s="98"/>
      <c r="S40" s="98"/>
    </row>
    <row r="41" spans="1:19" ht="12.75" customHeight="1">
      <c r="A41" s="44" t="s">
        <v>225</v>
      </c>
      <c r="B41" s="54"/>
      <c r="C41" s="206" t="s">
        <v>226</v>
      </c>
      <c r="D41" s="207"/>
      <c r="E41" s="207"/>
      <c r="F41" s="207"/>
      <c r="G41" s="207"/>
      <c r="H41" s="207"/>
      <c r="I41" s="207"/>
      <c r="J41" s="98"/>
      <c r="K41" s="98"/>
      <c r="L41" s="98"/>
      <c r="M41" s="98"/>
      <c r="N41" s="98"/>
      <c r="O41" s="98"/>
      <c r="P41" s="98"/>
      <c r="Q41" s="98"/>
      <c r="R41" s="98"/>
      <c r="S41" s="98"/>
    </row>
    <row r="42" spans="1:19">
      <c r="A42" s="45" t="s">
        <v>227</v>
      </c>
      <c r="B42" s="55"/>
      <c r="C42" s="208" t="s">
        <v>228</v>
      </c>
      <c r="D42" s="209"/>
      <c r="E42" s="209"/>
      <c r="F42" s="209"/>
      <c r="G42" s="209"/>
      <c r="H42" s="209"/>
      <c r="I42" s="209"/>
      <c r="J42" s="98"/>
      <c r="K42" s="98"/>
      <c r="L42" s="98"/>
      <c r="M42" s="98"/>
      <c r="N42" s="98"/>
      <c r="O42" s="98"/>
      <c r="P42" s="98"/>
      <c r="Q42" s="98"/>
      <c r="R42" s="98"/>
      <c r="S42" s="98"/>
    </row>
    <row r="43" spans="1:19">
      <c r="A43" s="45" t="s">
        <v>229</v>
      </c>
      <c r="B43" s="55"/>
      <c r="C43" s="210" t="s">
        <v>230</v>
      </c>
      <c r="D43" s="211"/>
      <c r="E43" s="211"/>
      <c r="F43" s="211"/>
      <c r="G43" s="211"/>
      <c r="H43" s="211"/>
      <c r="I43" s="211"/>
      <c r="J43" s="98"/>
      <c r="K43" s="98"/>
      <c r="L43" s="98"/>
      <c r="M43" s="98"/>
      <c r="N43" s="98"/>
      <c r="O43" s="98"/>
      <c r="P43" s="98"/>
      <c r="Q43" s="98"/>
      <c r="R43" s="98"/>
      <c r="S43" s="98"/>
    </row>
    <row r="44" spans="1:19">
      <c r="A44" s="45" t="s">
        <v>231</v>
      </c>
      <c r="B44" s="55"/>
      <c r="C44" s="208" t="s">
        <v>232</v>
      </c>
      <c r="D44" s="209"/>
      <c r="E44" s="209"/>
      <c r="F44" s="209"/>
      <c r="G44" s="209"/>
      <c r="H44" s="209"/>
      <c r="I44" s="209"/>
      <c r="J44" s="98"/>
      <c r="K44" s="98"/>
      <c r="L44" s="98"/>
      <c r="M44" s="98"/>
      <c r="N44" s="98"/>
      <c r="O44" s="98"/>
      <c r="P44" s="98"/>
      <c r="Q44" s="98"/>
      <c r="R44" s="98"/>
      <c r="S44" s="98"/>
    </row>
    <row r="45" spans="1:19">
      <c r="A45" s="45" t="s">
        <v>233</v>
      </c>
      <c r="B45" s="55"/>
      <c r="C45" s="208" t="s">
        <v>234</v>
      </c>
      <c r="D45" s="209"/>
      <c r="E45" s="209"/>
      <c r="F45" s="209"/>
      <c r="G45" s="209"/>
      <c r="H45" s="209"/>
      <c r="I45" s="209"/>
      <c r="J45" s="98"/>
      <c r="K45" s="98"/>
      <c r="L45" s="98"/>
      <c r="M45" s="98"/>
      <c r="N45" s="98"/>
      <c r="O45" s="98"/>
      <c r="P45" s="98"/>
      <c r="Q45" s="98"/>
      <c r="R45" s="98"/>
      <c r="S45" s="98"/>
    </row>
    <row r="46" spans="1:19">
      <c r="A46" s="45" t="s">
        <v>235</v>
      </c>
      <c r="B46" s="55"/>
      <c r="C46" s="208" t="s">
        <v>236</v>
      </c>
      <c r="D46" s="209"/>
      <c r="E46" s="209"/>
      <c r="F46" s="209"/>
      <c r="G46" s="209"/>
      <c r="H46" s="209"/>
      <c r="I46" s="209"/>
      <c r="J46" s="98"/>
      <c r="K46" s="98"/>
      <c r="L46" s="98"/>
      <c r="M46" s="98"/>
      <c r="N46" s="98"/>
      <c r="O46" s="98"/>
      <c r="P46" s="98"/>
      <c r="Q46" s="98"/>
      <c r="R46" s="98"/>
      <c r="S46" s="98"/>
    </row>
    <row r="47" spans="1:19">
      <c r="A47" s="45" t="s">
        <v>237</v>
      </c>
      <c r="B47" s="55"/>
      <c r="C47" s="208" t="s">
        <v>238</v>
      </c>
      <c r="D47" s="209"/>
      <c r="E47" s="209"/>
      <c r="F47" s="209"/>
      <c r="G47" s="209"/>
      <c r="H47" s="209"/>
      <c r="I47" s="209"/>
      <c r="J47" s="243" t="s">
        <v>117</v>
      </c>
      <c r="K47" s="243"/>
      <c r="L47" s="243"/>
      <c r="M47" s="243"/>
      <c r="N47" s="243"/>
      <c r="O47" s="243"/>
      <c r="P47" s="243" t="s">
        <v>116</v>
      </c>
      <c r="Q47" s="243"/>
      <c r="R47" s="98"/>
      <c r="S47" s="98"/>
    </row>
    <row r="48" spans="1:19" ht="29.25">
      <c r="A48" s="45" t="s">
        <v>239</v>
      </c>
      <c r="B48" s="55"/>
      <c r="C48" s="203" t="s">
        <v>105</v>
      </c>
      <c r="D48" s="204"/>
      <c r="E48" s="204"/>
      <c r="F48" s="204"/>
      <c r="G48" s="204"/>
      <c r="H48" s="204"/>
      <c r="I48" s="204"/>
      <c r="J48" s="203" t="s">
        <v>104</v>
      </c>
      <c r="K48" s="204"/>
      <c r="L48" s="204"/>
      <c r="M48" s="204"/>
      <c r="N48" s="204"/>
      <c r="O48" s="204"/>
      <c r="P48" s="88" t="s">
        <v>115</v>
      </c>
      <c r="Q48" s="90"/>
      <c r="R48" s="98"/>
      <c r="S48" s="98"/>
    </row>
    <row r="49" spans="1:35" ht="11.25" customHeight="1">
      <c r="A49" s="45" t="s">
        <v>240</v>
      </c>
      <c r="B49" s="55"/>
      <c r="C49" s="208" t="s">
        <v>241</v>
      </c>
      <c r="D49" s="209"/>
      <c r="E49" s="209"/>
      <c r="F49" s="209"/>
      <c r="G49" s="209"/>
      <c r="H49" s="209"/>
      <c r="I49" s="209"/>
      <c r="J49" s="97"/>
      <c r="K49" s="98"/>
      <c r="L49" s="98"/>
      <c r="M49" s="98"/>
      <c r="N49" s="98"/>
      <c r="O49" s="98"/>
      <c r="P49" s="98"/>
      <c r="Q49" s="98"/>
      <c r="R49" s="90"/>
      <c r="S49" s="90"/>
    </row>
    <row r="50" spans="1:35" ht="12.75">
      <c r="A50" s="205"/>
      <c r="B50" s="205"/>
      <c r="C50" s="205"/>
      <c r="D50" s="205"/>
      <c r="E50" s="205"/>
      <c r="F50" s="205"/>
      <c r="G50" s="205"/>
      <c r="H50" s="205"/>
      <c r="I50" s="205"/>
      <c r="J50" s="97"/>
      <c r="K50" s="98"/>
      <c r="L50" s="98"/>
      <c r="M50" s="98"/>
      <c r="N50" s="98"/>
      <c r="O50" s="98"/>
      <c r="P50" s="98"/>
      <c r="Q50" s="98"/>
      <c r="R50" s="98"/>
      <c r="S50" s="98"/>
    </row>
    <row r="51" spans="1:35" ht="14.25">
      <c r="A51" s="201" t="s">
        <v>242</v>
      </c>
      <c r="B51" s="201"/>
      <c r="C51" s="201"/>
      <c r="D51" s="201"/>
      <c r="E51" s="201"/>
      <c r="F51" s="201"/>
      <c r="G51" s="201"/>
      <c r="H51" s="201"/>
      <c r="I51" s="201"/>
      <c r="J51" s="201"/>
      <c r="K51" s="201"/>
      <c r="L51" s="201"/>
      <c r="M51" s="201"/>
      <c r="N51" s="201"/>
      <c r="O51" s="201"/>
      <c r="P51" s="201"/>
      <c r="Q51" s="201"/>
      <c r="R51" s="98"/>
      <c r="S51" s="98"/>
      <c r="V51" s="225"/>
      <c r="W51" s="225"/>
      <c r="X51" s="225"/>
      <c r="Y51" s="225"/>
      <c r="Z51" s="225"/>
      <c r="AA51" s="225"/>
      <c r="AB51" s="225"/>
      <c r="AC51" s="225"/>
      <c r="AD51" s="225"/>
      <c r="AE51" s="225"/>
      <c r="AF51" s="225"/>
      <c r="AG51" s="225"/>
      <c r="AH51" s="225"/>
      <c r="AI51" s="225"/>
    </row>
    <row r="52" spans="1:35" ht="12.75" customHeight="1" thickBot="1">
      <c r="A52" s="44" t="s">
        <v>243</v>
      </c>
      <c r="B52" s="54"/>
      <c r="C52" s="214" t="s">
        <v>244</v>
      </c>
      <c r="D52" s="215"/>
      <c r="E52" s="215"/>
      <c r="F52" s="215"/>
      <c r="G52" s="215"/>
      <c r="H52" s="215"/>
      <c r="I52" s="215"/>
      <c r="J52" s="97"/>
      <c r="K52" s="98"/>
      <c r="L52" s="98"/>
      <c r="M52" s="98"/>
      <c r="N52" s="98"/>
      <c r="O52" s="98"/>
      <c r="P52" s="98"/>
      <c r="Q52" s="98"/>
      <c r="R52" s="98"/>
      <c r="S52" s="98"/>
    </row>
    <row r="53" spans="1:35" ht="13.5" thickBot="1">
      <c r="A53" s="56" t="s">
        <v>245</v>
      </c>
      <c r="B53" s="57"/>
      <c r="C53" s="199" t="s">
        <v>246</v>
      </c>
      <c r="D53" s="200"/>
      <c r="E53" s="200"/>
      <c r="F53" s="200"/>
      <c r="G53" s="200"/>
      <c r="H53" s="200"/>
      <c r="I53" s="200"/>
      <c r="J53" s="97"/>
      <c r="K53" s="98"/>
      <c r="L53" s="98"/>
      <c r="M53" s="98"/>
      <c r="N53" s="98"/>
      <c r="O53" s="98"/>
      <c r="P53" s="98"/>
      <c r="Q53" s="98"/>
      <c r="R53" s="98"/>
      <c r="S53" s="98"/>
      <c r="W53" s="234" t="s">
        <v>111</v>
      </c>
      <c r="X53" s="235"/>
      <c r="Y53" s="235"/>
      <c r="Z53" s="235"/>
      <c r="AA53" s="235"/>
      <c r="AB53" s="235"/>
      <c r="AC53" s="235"/>
      <c r="AD53" s="235"/>
      <c r="AE53" s="236"/>
    </row>
    <row r="54" spans="1:35" ht="37.5" customHeight="1">
      <c r="R54" s="98"/>
      <c r="S54" s="98"/>
      <c r="V54" s="225" t="s">
        <v>112</v>
      </c>
      <c r="W54" s="225"/>
      <c r="X54" s="225"/>
      <c r="Y54" s="225"/>
      <c r="Z54" s="225"/>
      <c r="AA54" s="225"/>
      <c r="AB54" s="225"/>
      <c r="AC54" s="225"/>
      <c r="AD54" s="225"/>
      <c r="AE54" s="225"/>
      <c r="AF54" s="225"/>
      <c r="AG54" s="225"/>
      <c r="AH54" s="225"/>
      <c r="AI54" s="225"/>
    </row>
    <row r="55" spans="1:35" ht="34.5" customHeight="1"/>
    <row r="63" spans="1:35" ht="24.75" customHeight="1"/>
    <row r="80" spans="21:34" ht="14.25">
      <c r="U80" s="225"/>
      <c r="V80" s="225"/>
      <c r="W80" s="225"/>
      <c r="X80" s="225"/>
      <c r="Y80" s="225"/>
      <c r="Z80" s="225"/>
      <c r="AA80" s="225"/>
      <c r="AB80" s="225"/>
      <c r="AC80" s="225"/>
      <c r="AD80" s="225"/>
      <c r="AE80" s="225"/>
      <c r="AF80" s="225"/>
      <c r="AG80" s="225"/>
      <c r="AH80" s="225"/>
    </row>
    <row r="89" ht="11.25" customHeight="1"/>
    <row r="91" ht="11.25" customHeight="1"/>
  </sheetData>
  <mergeCells count="91">
    <mergeCell ref="B4:C4"/>
    <mergeCell ref="V54:AI54"/>
    <mergeCell ref="P47:Q47"/>
    <mergeCell ref="J47:O47"/>
    <mergeCell ref="P15:Q15"/>
    <mergeCell ref="A17:Q17"/>
    <mergeCell ref="A27:Q27"/>
    <mergeCell ref="A40:Q40"/>
    <mergeCell ref="B24:I24"/>
    <mergeCell ref="A16:I16"/>
    <mergeCell ref="B18:I18"/>
    <mergeCell ref="B21:I21"/>
    <mergeCell ref="B22:I22"/>
    <mergeCell ref="C47:I47"/>
    <mergeCell ref="B36:I36"/>
    <mergeCell ref="B25:I25"/>
    <mergeCell ref="F1:G1"/>
    <mergeCell ref="H1:I1"/>
    <mergeCell ref="H4:I4"/>
    <mergeCell ref="J4:K4"/>
    <mergeCell ref="N3:O3"/>
    <mergeCell ref="L4:M4"/>
    <mergeCell ref="N4:O4"/>
    <mergeCell ref="F3:G3"/>
    <mergeCell ref="H3:I3"/>
    <mergeCell ref="J3:K3"/>
    <mergeCell ref="L3:M3"/>
    <mergeCell ref="U80:AH80"/>
    <mergeCell ref="V51:AI51"/>
    <mergeCell ref="J1:K1"/>
    <mergeCell ref="B28:I28"/>
    <mergeCell ref="T1:AH2"/>
    <mergeCell ref="W4:AE4"/>
    <mergeCell ref="W29:AE29"/>
    <mergeCell ref="A5:I5"/>
    <mergeCell ref="L1:M1"/>
    <mergeCell ref="N1:O1"/>
    <mergeCell ref="B3:C3"/>
    <mergeCell ref="D3:E3"/>
    <mergeCell ref="B1:C1"/>
    <mergeCell ref="D1:E1"/>
    <mergeCell ref="W53:AE53"/>
    <mergeCell ref="B35:I35"/>
    <mergeCell ref="P1:Q1"/>
    <mergeCell ref="F4:G4"/>
    <mergeCell ref="J14:K14"/>
    <mergeCell ref="L14:M14"/>
    <mergeCell ref="B13:I13"/>
    <mergeCell ref="B14:C14"/>
    <mergeCell ref="D14:E14"/>
    <mergeCell ref="F14:G14"/>
    <mergeCell ref="H14:I14"/>
    <mergeCell ref="A6:Q6"/>
    <mergeCell ref="N14:O14"/>
    <mergeCell ref="P14:Q14"/>
    <mergeCell ref="D4:E4"/>
    <mergeCell ref="A2:Q2"/>
    <mergeCell ref="P3:Q3"/>
    <mergeCell ref="P4:Q4"/>
    <mergeCell ref="L15:M15"/>
    <mergeCell ref="N15:O15"/>
    <mergeCell ref="C49:I49"/>
    <mergeCell ref="A50:I50"/>
    <mergeCell ref="C52:I52"/>
    <mergeCell ref="B29:I29"/>
    <mergeCell ref="B30:I30"/>
    <mergeCell ref="B31:I31"/>
    <mergeCell ref="B32:I32"/>
    <mergeCell ref="B33:I33"/>
    <mergeCell ref="B15:C15"/>
    <mergeCell ref="D15:E15"/>
    <mergeCell ref="F15:G15"/>
    <mergeCell ref="H15:I15"/>
    <mergeCell ref="J15:K15"/>
    <mergeCell ref="A26:I26"/>
    <mergeCell ref="C53:I53"/>
    <mergeCell ref="A51:Q51"/>
    <mergeCell ref="J13:O13"/>
    <mergeCell ref="J48:O48"/>
    <mergeCell ref="J21:O21"/>
    <mergeCell ref="C48:I48"/>
    <mergeCell ref="B37:I37"/>
    <mergeCell ref="B38:I38"/>
    <mergeCell ref="A39:I39"/>
    <mergeCell ref="C41:I41"/>
    <mergeCell ref="C42:I42"/>
    <mergeCell ref="C43:I43"/>
    <mergeCell ref="C44:I44"/>
    <mergeCell ref="C45:I45"/>
    <mergeCell ref="C46:I46"/>
    <mergeCell ref="B34:I34"/>
  </mergeCells>
  <pageMargins left="0.7" right="0.7" top="0.75" bottom="0.75" header="0.3" footer="0.3"/>
  <pageSetup orientation="portrait" r:id="rId1"/>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outlinePr summaryRight="0"/>
  </sheetPr>
  <dimension ref="A1:AC51"/>
  <sheetViews>
    <sheetView showGridLines="0" tabSelected="1" workbookViewId="0">
      <pane xSplit="5" ySplit="16" topLeftCell="F23" activePane="bottomRight" state="frozen"/>
      <selection pane="topRight" activeCell="F1" sqref="F1"/>
      <selection pane="bottomLeft" activeCell="A16" sqref="A16"/>
      <selection pane="bottomRight" activeCell="G36" sqref="G36"/>
    </sheetView>
  </sheetViews>
  <sheetFormatPr defaultRowHeight="11.25" outlineLevelRow="1" outlineLevelCol="1"/>
  <cols>
    <col min="1" max="1" width="5" customWidth="1"/>
    <col min="2" max="2" width="7.33203125" customWidth="1"/>
    <col min="4" max="4" width="15.5" customWidth="1"/>
    <col min="5" max="5" width="34.6640625" customWidth="1"/>
    <col min="6" max="6" width="33.1640625" customWidth="1"/>
    <col min="7" max="7" width="11.5" customWidth="1"/>
    <col min="8" max="8" width="10.33203125" customWidth="1"/>
    <col min="9" max="9" width="13.5" customWidth="1"/>
    <col min="10" max="10" width="10.83203125" customWidth="1"/>
    <col min="11" max="12" width="10.83203125" customWidth="1" outlineLevel="1"/>
    <col min="13" max="13" width="16.83203125" customWidth="1" outlineLevel="1"/>
    <col min="14" max="14" width="10.83203125" customWidth="1" outlineLevel="1"/>
    <col min="15" max="15" width="20" customWidth="1" outlineLevel="1"/>
    <col min="16" max="16" width="11.5" customWidth="1" outlineLevel="1"/>
    <col min="17" max="17" width="11.83203125" customWidth="1" outlineLevel="1"/>
    <col min="18" max="19" width="11.5" customWidth="1" outlineLevel="1"/>
    <col min="20" max="20" width="8.6640625" customWidth="1" outlineLevel="1"/>
    <col min="21" max="21" width="13.6640625" customWidth="1" outlineLevel="1"/>
    <col min="22" max="22" width="16.1640625" customWidth="1" outlineLevel="1"/>
    <col min="23" max="23" width="15.5" customWidth="1" outlineLevel="1"/>
    <col min="24" max="24" width="10.5" customWidth="1" outlineLevel="1"/>
    <col min="25" max="25" width="8.83203125" customWidth="1" outlineLevel="1"/>
    <col min="26" max="26" width="10.1640625" customWidth="1" outlineLevel="1"/>
    <col min="27" max="27" width="13.33203125" customWidth="1" outlineLevel="1"/>
    <col min="28" max="28" width="12.83203125" customWidth="1" outlineLevel="1"/>
    <col min="29" max="29" width="7.6640625" customWidth="1" outlineLevel="1"/>
  </cols>
  <sheetData>
    <row r="1" spans="1:29">
      <c r="F1" s="138" t="s">
        <v>348</v>
      </c>
      <c r="H1" s="124" t="s">
        <v>306</v>
      </c>
      <c r="J1" s="178" t="s">
        <v>282</v>
      </c>
    </row>
    <row r="2" spans="1:29" outlineLevel="1">
      <c r="C2" s="146" t="s">
        <v>259</v>
      </c>
      <c r="D2" s="146"/>
      <c r="E2" s="146"/>
      <c r="H2" s="137">
        <v>42.195900000000002</v>
      </c>
      <c r="I2" s="138" t="s">
        <v>364</v>
      </c>
      <c r="J2" s="138" t="s">
        <v>283</v>
      </c>
    </row>
    <row r="3" spans="1:29" outlineLevel="1">
      <c r="C3" s="124" t="s">
        <v>16</v>
      </c>
      <c r="D3" s="124" t="s">
        <v>7</v>
      </c>
      <c r="E3" s="123" t="s">
        <v>265</v>
      </c>
      <c r="F3" s="123" t="s">
        <v>256</v>
      </c>
      <c r="G3" s="123" t="s">
        <v>257</v>
      </c>
      <c r="H3" s="124" t="s">
        <v>258</v>
      </c>
      <c r="I3" s="123" t="s">
        <v>271</v>
      </c>
      <c r="J3" s="138" t="s">
        <v>284</v>
      </c>
    </row>
    <row r="4" spans="1:29" outlineLevel="1">
      <c r="C4" s="125"/>
      <c r="D4" s="127" t="s">
        <v>263</v>
      </c>
      <c r="E4" s="139"/>
      <c r="F4" s="127" t="s">
        <v>349</v>
      </c>
      <c r="G4" s="126">
        <v>12</v>
      </c>
      <c r="H4" s="168"/>
      <c r="I4" s="167">
        <f t="shared" ref="I4:I10" si="0">$H4*$H$2</f>
        <v>0</v>
      </c>
      <c r="J4" s="147" t="s">
        <v>280</v>
      </c>
      <c r="K4" s="147"/>
      <c r="L4" s="147"/>
      <c r="M4" s="147"/>
    </row>
    <row r="5" spans="1:29" outlineLevel="1">
      <c r="C5" s="125"/>
      <c r="D5" s="127" t="s">
        <v>264</v>
      </c>
      <c r="E5" s="139"/>
      <c r="F5" s="127" t="s">
        <v>350</v>
      </c>
      <c r="G5" s="126">
        <v>15</v>
      </c>
      <c r="H5" s="168"/>
      <c r="I5" s="167">
        <f t="shared" si="0"/>
        <v>0</v>
      </c>
      <c r="J5" s="138" t="s">
        <v>296</v>
      </c>
      <c r="K5" s="24"/>
      <c r="L5" s="24"/>
      <c r="M5" s="24"/>
      <c r="N5" s="24"/>
      <c r="O5" s="24"/>
      <c r="P5" s="24"/>
      <c r="Q5" s="24"/>
      <c r="R5" s="24"/>
    </row>
    <row r="6" spans="1:29" outlineLevel="1">
      <c r="C6" s="127" t="s">
        <v>260</v>
      </c>
      <c r="D6" s="127" t="s">
        <v>266</v>
      </c>
      <c r="E6" s="171"/>
      <c r="F6" s="127" t="s">
        <v>351</v>
      </c>
      <c r="G6" s="126">
        <v>17</v>
      </c>
      <c r="H6" s="168"/>
      <c r="I6" s="167">
        <f t="shared" si="0"/>
        <v>0</v>
      </c>
      <c r="J6" s="138" t="s">
        <v>339</v>
      </c>
    </row>
    <row r="7" spans="1:29" outlineLevel="1">
      <c r="C7" s="138" t="s">
        <v>274</v>
      </c>
      <c r="D7" s="127" t="s">
        <v>266</v>
      </c>
      <c r="E7" s="165">
        <f>E6*$H$2</f>
        <v>0</v>
      </c>
      <c r="F7" s="127" t="s">
        <v>352</v>
      </c>
      <c r="G7" s="126">
        <v>20</v>
      </c>
      <c r="H7" s="168"/>
      <c r="I7" s="167">
        <f t="shared" si="0"/>
        <v>0</v>
      </c>
      <c r="J7" s="138" t="s">
        <v>310</v>
      </c>
    </row>
    <row r="8" spans="1:29" ht="11.25" customHeight="1" outlineLevel="1">
      <c r="C8" s="127" t="s">
        <v>90</v>
      </c>
      <c r="D8" s="127" t="s">
        <v>84</v>
      </c>
      <c r="E8" s="139"/>
      <c r="F8" s="127" t="s">
        <v>353</v>
      </c>
      <c r="G8" s="126">
        <v>30</v>
      </c>
      <c r="H8" s="168"/>
      <c r="I8" s="167">
        <f t="shared" si="0"/>
        <v>0</v>
      </c>
    </row>
    <row r="9" spans="1:29" outlineLevel="1">
      <c r="C9" s="127" t="s">
        <v>91</v>
      </c>
      <c r="D9" s="127" t="s">
        <v>85</v>
      </c>
      <c r="E9" s="139"/>
      <c r="F9" s="127" t="s">
        <v>354</v>
      </c>
      <c r="G9" s="126">
        <v>40</v>
      </c>
      <c r="H9" s="168"/>
      <c r="I9" s="167">
        <f t="shared" si="0"/>
        <v>0</v>
      </c>
    </row>
    <row r="10" spans="1:29" outlineLevel="1">
      <c r="C10" s="127" t="s">
        <v>92</v>
      </c>
      <c r="D10" s="127" t="s">
        <v>87</v>
      </c>
      <c r="E10" s="139"/>
      <c r="F10" s="127" t="s">
        <v>355</v>
      </c>
      <c r="G10" s="126">
        <v>50</v>
      </c>
      <c r="H10" s="168"/>
      <c r="I10" s="167">
        <f t="shared" si="0"/>
        <v>0</v>
      </c>
    </row>
    <row r="11" spans="1:29" outlineLevel="1">
      <c r="C11" s="127" t="s">
        <v>91</v>
      </c>
      <c r="D11" s="127" t="s">
        <v>86</v>
      </c>
      <c r="E11" s="139"/>
      <c r="F11" s="127"/>
      <c r="G11" s="126"/>
      <c r="H11" s="168"/>
      <c r="I11" s="167"/>
      <c r="O11" s="138"/>
      <c r="P11" s="138"/>
      <c r="Q11" s="138"/>
      <c r="R11" s="138"/>
      <c r="S11" s="138"/>
      <c r="T11" s="138"/>
      <c r="U11" s="138"/>
      <c r="V11" s="138"/>
      <c r="W11" s="138"/>
      <c r="X11" s="138"/>
      <c r="Y11" s="138"/>
      <c r="Z11" s="138"/>
      <c r="AA11" s="138"/>
      <c r="AB11" s="138"/>
      <c r="AC11" s="138"/>
    </row>
    <row r="12" spans="1:29" outlineLevel="1">
      <c r="C12" s="127" t="s">
        <v>92</v>
      </c>
      <c r="D12" s="127" t="s">
        <v>88</v>
      </c>
      <c r="E12" s="139"/>
      <c r="O12" s="138"/>
      <c r="P12" s="138"/>
      <c r="Q12" s="138"/>
      <c r="R12" s="138"/>
      <c r="S12" s="138"/>
      <c r="T12" s="138"/>
      <c r="U12" s="138"/>
      <c r="V12" s="138"/>
      <c r="W12" s="138"/>
      <c r="X12" s="138"/>
      <c r="Y12" s="138"/>
      <c r="Z12" s="138"/>
      <c r="AA12" s="138"/>
      <c r="AB12" s="138"/>
      <c r="AC12" s="138"/>
    </row>
    <row r="13" spans="1:29" outlineLevel="1">
      <c r="C13" s="127" t="s">
        <v>98</v>
      </c>
      <c r="D13" s="127" t="s">
        <v>89</v>
      </c>
      <c r="E13" s="139"/>
      <c r="O13" s="138"/>
      <c r="P13" s="138"/>
      <c r="Q13" s="138"/>
      <c r="R13" s="138"/>
      <c r="S13" s="138"/>
      <c r="T13" s="138"/>
      <c r="U13" s="138"/>
      <c r="V13" s="138"/>
      <c r="W13" s="138"/>
      <c r="X13" s="138"/>
      <c r="Y13" s="138"/>
      <c r="Z13" s="138"/>
      <c r="AA13" s="138"/>
      <c r="AB13" s="138"/>
      <c r="AC13" s="138"/>
    </row>
    <row r="14" spans="1:29" outlineLevel="1">
      <c r="M14" s="138"/>
      <c r="O14" s="138" t="s">
        <v>295</v>
      </c>
      <c r="P14" s="138" t="s">
        <v>286</v>
      </c>
      <c r="Q14" s="138" t="s">
        <v>286</v>
      </c>
      <c r="R14" s="138" t="s">
        <v>305</v>
      </c>
      <c r="S14" s="138" t="s">
        <v>286</v>
      </c>
      <c r="T14" s="138" t="s">
        <v>305</v>
      </c>
      <c r="U14" s="138" t="s">
        <v>286</v>
      </c>
      <c r="V14" s="138" t="s">
        <v>286</v>
      </c>
      <c r="W14" s="138" t="s">
        <v>286</v>
      </c>
      <c r="X14" s="138" t="s">
        <v>295</v>
      </c>
      <c r="Y14" s="138" t="s">
        <v>295</v>
      </c>
      <c r="Z14" s="138" t="s">
        <v>295</v>
      </c>
      <c r="AA14" s="138" t="s">
        <v>295</v>
      </c>
      <c r="AB14" s="138" t="s">
        <v>295</v>
      </c>
      <c r="AC14" s="138" t="s">
        <v>295</v>
      </c>
    </row>
    <row r="15" spans="1:29">
      <c r="D15" s="133"/>
      <c r="F15" s="92"/>
      <c r="G15" s="138" t="s">
        <v>311</v>
      </c>
      <c r="H15" s="138" t="s">
        <v>311</v>
      </c>
      <c r="I15" s="138" t="s">
        <v>311</v>
      </c>
      <c r="J15" s="138" t="s">
        <v>270</v>
      </c>
      <c r="K15" s="131" t="s">
        <v>251</v>
      </c>
      <c r="L15" s="131" t="s">
        <v>251</v>
      </c>
      <c r="M15" s="138" t="s">
        <v>270</v>
      </c>
      <c r="N15" s="138" t="s">
        <v>270</v>
      </c>
      <c r="O15" s="131" t="s">
        <v>251</v>
      </c>
      <c r="P15" s="138" t="s">
        <v>268</v>
      </c>
      <c r="Q15" s="138" t="s">
        <v>270</v>
      </c>
      <c r="R15" s="131" t="s">
        <v>251</v>
      </c>
      <c r="S15" s="131" t="s">
        <v>251</v>
      </c>
      <c r="T15" s="131" t="s">
        <v>251</v>
      </c>
      <c r="U15" s="131" t="s">
        <v>251</v>
      </c>
      <c r="V15" s="131" t="s">
        <v>251</v>
      </c>
      <c r="W15" s="131" t="s">
        <v>251</v>
      </c>
      <c r="X15" s="131" t="s">
        <v>251</v>
      </c>
      <c r="Y15" s="131" t="s">
        <v>251</v>
      </c>
      <c r="Z15" s="131" t="s">
        <v>251</v>
      </c>
      <c r="AA15" s="131" t="s">
        <v>251</v>
      </c>
      <c r="AB15" s="131" t="s">
        <v>251</v>
      </c>
      <c r="AC15" s="131" t="s">
        <v>251</v>
      </c>
    </row>
    <row r="16" spans="1:29" ht="49.5" customHeight="1">
      <c r="A16" s="102" t="s">
        <v>0</v>
      </c>
      <c r="B16" s="102" t="s">
        <v>179</v>
      </c>
      <c r="C16" s="102" t="s">
        <v>124</v>
      </c>
      <c r="D16" s="102" t="s">
        <v>125</v>
      </c>
      <c r="E16" s="102" t="s">
        <v>126</v>
      </c>
      <c r="F16" s="102" t="s">
        <v>180</v>
      </c>
      <c r="G16" s="102" t="s">
        <v>285</v>
      </c>
      <c r="H16" s="102" t="s">
        <v>178</v>
      </c>
      <c r="I16" s="102" t="s">
        <v>181</v>
      </c>
      <c r="J16" s="102" t="s">
        <v>269</v>
      </c>
      <c r="K16" s="140" t="s">
        <v>178</v>
      </c>
      <c r="L16" s="140" t="s">
        <v>267</v>
      </c>
      <c r="M16" s="102" t="s">
        <v>294</v>
      </c>
      <c r="N16" s="102" t="s">
        <v>181</v>
      </c>
      <c r="O16" s="141" t="s">
        <v>252</v>
      </c>
      <c r="P16" s="103" t="s">
        <v>247</v>
      </c>
      <c r="Q16" s="103" t="s">
        <v>275</v>
      </c>
      <c r="R16" s="141" t="s">
        <v>51</v>
      </c>
      <c r="S16" s="141" t="s">
        <v>12</v>
      </c>
      <c r="T16" s="141" t="s">
        <v>122</v>
      </c>
      <c r="U16" s="141" t="s">
        <v>47</v>
      </c>
      <c r="V16" s="141" t="s">
        <v>308</v>
      </c>
      <c r="W16" s="141" t="s">
        <v>309</v>
      </c>
      <c r="X16" s="141" t="s">
        <v>2</v>
      </c>
      <c r="Y16" s="141" t="s">
        <v>14</v>
      </c>
      <c r="Z16" s="141" t="s">
        <v>4</v>
      </c>
      <c r="AA16" s="141" t="s">
        <v>250</v>
      </c>
      <c r="AB16" s="141" t="s">
        <v>249</v>
      </c>
      <c r="AC16" s="141" t="s">
        <v>49</v>
      </c>
    </row>
    <row r="17" spans="1:29" outlineLevel="1">
      <c r="A17" s="93">
        <v>1</v>
      </c>
      <c r="B17" s="93" t="s">
        <v>371</v>
      </c>
      <c r="C17" s="91">
        <v>40610200</v>
      </c>
      <c r="D17" s="92" t="s">
        <v>361</v>
      </c>
      <c r="E17" s="92" t="s">
        <v>372</v>
      </c>
      <c r="F17" s="92" t="s">
        <v>405</v>
      </c>
      <c r="G17" s="91">
        <v>12</v>
      </c>
      <c r="H17" s="94">
        <v>15</v>
      </c>
      <c r="I17" s="104">
        <f>G17*1.15</f>
        <v>13.799999999999999</v>
      </c>
      <c r="J17" s="167">
        <f>SUM(O17:AC17)</f>
        <v>0</v>
      </c>
      <c r="K17" s="168"/>
      <c r="L17" s="168"/>
      <c r="M17" s="164" t="str">
        <f>IFERROR(INDEX($F$4:$G$12,MATCH($K17,$G$4:$G$12,0),1),"")</f>
        <v/>
      </c>
      <c r="N17" s="166">
        <f>$L17*$E$8/1000</f>
        <v>0</v>
      </c>
      <c r="O17" s="168"/>
      <c r="P17" s="167">
        <f t="shared" ref="P17:P35" si="1">$L17*$E$7</f>
        <v>0</v>
      </c>
      <c r="Q17" s="167">
        <f t="shared" ref="Q17:Q35" si="2">IFERROR(VLOOKUP($K17,$G$4:$I$11,3,0),0)+IF($K17&gt;=20,$I$13,$I$14)</f>
        <v>0</v>
      </c>
      <c r="R17" s="168"/>
      <c r="S17" s="168"/>
      <c r="T17" s="168"/>
      <c r="U17" s="168"/>
      <c r="V17" s="168"/>
      <c r="W17" s="168"/>
      <c r="X17" s="168"/>
      <c r="Y17" s="168"/>
      <c r="Z17" s="168"/>
      <c r="AA17" s="168"/>
      <c r="AB17" s="168"/>
      <c r="AC17" s="168"/>
    </row>
    <row r="18" spans="1:29" outlineLevel="1">
      <c r="A18" s="93">
        <f>A17+1</f>
        <v>2</v>
      </c>
      <c r="B18" s="93" t="s">
        <v>373</v>
      </c>
      <c r="C18" s="91">
        <v>40168100</v>
      </c>
      <c r="D18" s="92" t="s">
        <v>374</v>
      </c>
      <c r="E18" s="92" t="s">
        <v>375</v>
      </c>
      <c r="F18" s="92" t="s">
        <v>406</v>
      </c>
      <c r="G18" s="91">
        <v>15</v>
      </c>
      <c r="H18" s="94">
        <v>15</v>
      </c>
      <c r="I18" s="104">
        <f t="shared" ref="I18:I35" si="3">G18*1.15</f>
        <v>17.25</v>
      </c>
      <c r="J18" s="167">
        <f t="shared" ref="J18:J27" si="4">SUM(O18:AC18)</f>
        <v>0</v>
      </c>
      <c r="K18" s="168"/>
      <c r="L18" s="168"/>
      <c r="M18" s="164" t="str">
        <f t="shared" ref="M18:M27" si="5">IFERROR(INDEX($F$4:$G$12,MATCH($K18,$G$4:$G$12,0),1),"")</f>
        <v/>
      </c>
      <c r="N18" s="166">
        <f t="shared" ref="N18:N35" si="6">$L18*$E$8/1000</f>
        <v>0</v>
      </c>
      <c r="O18" s="168"/>
      <c r="P18" s="167">
        <f t="shared" si="1"/>
        <v>0</v>
      </c>
      <c r="Q18" s="167">
        <f t="shared" si="2"/>
        <v>0</v>
      </c>
      <c r="R18" s="168"/>
      <c r="S18" s="168"/>
      <c r="T18" s="168"/>
      <c r="U18" s="168"/>
      <c r="V18" s="168"/>
      <c r="W18" s="168"/>
      <c r="X18" s="168"/>
      <c r="Y18" s="168"/>
      <c r="Z18" s="168"/>
      <c r="AA18" s="168"/>
      <c r="AB18" s="168"/>
      <c r="AC18" s="168"/>
    </row>
    <row r="19" spans="1:29" outlineLevel="1">
      <c r="A19" s="93">
        <f t="shared" ref="A19:A33" si="7">A18+1</f>
        <v>3</v>
      </c>
      <c r="B19" s="93" t="s">
        <v>376</v>
      </c>
      <c r="C19" s="91">
        <v>40611300</v>
      </c>
      <c r="D19" s="92" t="s">
        <v>377</v>
      </c>
      <c r="E19" s="92" t="s">
        <v>378</v>
      </c>
      <c r="F19" s="92" t="s">
        <v>422</v>
      </c>
      <c r="G19" s="91">
        <v>15</v>
      </c>
      <c r="H19" s="94">
        <v>15</v>
      </c>
      <c r="I19" s="104">
        <f t="shared" si="3"/>
        <v>17.25</v>
      </c>
      <c r="J19" s="167">
        <f t="shared" si="4"/>
        <v>0</v>
      </c>
      <c r="K19" s="168"/>
      <c r="L19" s="168"/>
      <c r="M19" s="164" t="str">
        <f t="shared" si="5"/>
        <v/>
      </c>
      <c r="N19" s="166">
        <f t="shared" si="6"/>
        <v>0</v>
      </c>
      <c r="O19" s="168"/>
      <c r="P19" s="167">
        <f t="shared" si="1"/>
        <v>0</v>
      </c>
      <c r="Q19" s="167">
        <f t="shared" si="2"/>
        <v>0</v>
      </c>
      <c r="R19" s="168"/>
      <c r="S19" s="168"/>
      <c r="T19" s="168"/>
      <c r="U19" s="168"/>
      <c r="V19" s="168"/>
      <c r="W19" s="168"/>
      <c r="X19" s="168"/>
      <c r="Y19" s="168"/>
      <c r="Z19" s="168"/>
      <c r="AA19" s="168"/>
      <c r="AB19" s="168"/>
      <c r="AC19" s="168"/>
    </row>
    <row r="20" spans="1:29" outlineLevel="1">
      <c r="A20" s="93">
        <f t="shared" si="7"/>
        <v>4</v>
      </c>
      <c r="B20" s="93" t="s">
        <v>366</v>
      </c>
      <c r="C20" s="91">
        <v>60860800</v>
      </c>
      <c r="D20" s="92" t="s">
        <v>377</v>
      </c>
      <c r="E20" s="92" t="s">
        <v>379</v>
      </c>
      <c r="F20" s="92" t="s">
        <v>407</v>
      </c>
      <c r="G20" s="91">
        <v>15</v>
      </c>
      <c r="H20" s="94">
        <v>15</v>
      </c>
      <c r="I20" s="104">
        <f t="shared" si="3"/>
        <v>17.25</v>
      </c>
      <c r="J20" s="167">
        <f t="shared" si="4"/>
        <v>0</v>
      </c>
      <c r="K20" s="168"/>
      <c r="L20" s="168"/>
      <c r="M20" s="164" t="str">
        <f t="shared" si="5"/>
        <v/>
      </c>
      <c r="N20" s="166">
        <f t="shared" si="6"/>
        <v>0</v>
      </c>
      <c r="O20" s="168"/>
      <c r="P20" s="167">
        <f t="shared" si="1"/>
        <v>0</v>
      </c>
      <c r="Q20" s="167">
        <f t="shared" si="2"/>
        <v>0</v>
      </c>
      <c r="R20" s="168"/>
      <c r="S20" s="168"/>
      <c r="T20" s="168"/>
      <c r="U20" s="168"/>
      <c r="V20" s="168"/>
      <c r="W20" s="168"/>
      <c r="X20" s="168"/>
      <c r="Y20" s="168"/>
      <c r="Z20" s="168"/>
      <c r="AA20" s="168"/>
      <c r="AB20" s="168"/>
      <c r="AC20" s="168"/>
    </row>
    <row r="21" spans="1:29" outlineLevel="1">
      <c r="A21" s="93">
        <f t="shared" si="7"/>
        <v>5</v>
      </c>
      <c r="B21" s="93" t="s">
        <v>168</v>
      </c>
      <c r="C21" s="91">
        <v>40112500</v>
      </c>
      <c r="D21" s="92" t="s">
        <v>380</v>
      </c>
      <c r="E21" s="92" t="s">
        <v>381</v>
      </c>
      <c r="F21" s="92" t="s">
        <v>408</v>
      </c>
      <c r="G21" s="91">
        <v>15</v>
      </c>
      <c r="H21" s="94">
        <v>15</v>
      </c>
      <c r="I21" s="104">
        <f t="shared" si="3"/>
        <v>17.25</v>
      </c>
      <c r="J21" s="167">
        <f t="shared" si="4"/>
        <v>0</v>
      </c>
      <c r="K21" s="168"/>
      <c r="L21" s="168"/>
      <c r="M21" s="164" t="str">
        <f t="shared" si="5"/>
        <v/>
      </c>
      <c r="N21" s="166">
        <f t="shared" si="6"/>
        <v>0</v>
      </c>
      <c r="O21" s="168"/>
      <c r="P21" s="167">
        <f t="shared" si="1"/>
        <v>0</v>
      </c>
      <c r="Q21" s="167">
        <f t="shared" si="2"/>
        <v>0</v>
      </c>
      <c r="R21" s="168"/>
      <c r="S21" s="168"/>
      <c r="T21" s="168"/>
      <c r="U21" s="168"/>
      <c r="V21" s="168"/>
      <c r="W21" s="168"/>
      <c r="X21" s="168"/>
      <c r="Y21" s="168"/>
      <c r="Z21" s="168"/>
      <c r="AA21" s="168"/>
      <c r="AB21" s="168"/>
      <c r="AC21" s="168"/>
    </row>
    <row r="22" spans="1:29" outlineLevel="1">
      <c r="A22" s="93">
        <f t="shared" si="7"/>
        <v>6</v>
      </c>
      <c r="B22" s="93" t="s">
        <v>382</v>
      </c>
      <c r="C22" s="91">
        <v>40112600</v>
      </c>
      <c r="D22" s="92" t="s">
        <v>380</v>
      </c>
      <c r="E22" s="92" t="s">
        <v>383</v>
      </c>
      <c r="F22" s="92" t="s">
        <v>409</v>
      </c>
      <c r="G22" s="91">
        <v>12</v>
      </c>
      <c r="H22" s="94">
        <v>15</v>
      </c>
      <c r="I22" s="104">
        <f t="shared" si="3"/>
        <v>13.799999999999999</v>
      </c>
      <c r="J22" s="167">
        <f t="shared" si="4"/>
        <v>0</v>
      </c>
      <c r="K22" s="168"/>
      <c r="L22" s="168"/>
      <c r="M22" s="164" t="str">
        <f t="shared" si="5"/>
        <v/>
      </c>
      <c r="N22" s="166">
        <f t="shared" si="6"/>
        <v>0</v>
      </c>
      <c r="O22" s="168"/>
      <c r="P22" s="167">
        <f t="shared" si="1"/>
        <v>0</v>
      </c>
      <c r="Q22" s="167">
        <f t="shared" si="2"/>
        <v>0</v>
      </c>
      <c r="R22" s="168"/>
      <c r="S22" s="168"/>
      <c r="T22" s="168"/>
      <c r="U22" s="168"/>
      <c r="V22" s="168"/>
      <c r="W22" s="168"/>
      <c r="X22" s="168"/>
      <c r="Y22" s="168"/>
      <c r="Z22" s="168"/>
      <c r="AA22" s="168"/>
      <c r="AB22" s="168"/>
      <c r="AC22" s="168"/>
    </row>
    <row r="23" spans="1:29" outlineLevel="1">
      <c r="A23" s="93">
        <f t="shared" si="7"/>
        <v>7</v>
      </c>
      <c r="B23" s="93" t="s">
        <v>367</v>
      </c>
      <c r="C23" s="91">
        <v>40112900</v>
      </c>
      <c r="D23" s="92" t="s">
        <v>380</v>
      </c>
      <c r="E23" s="92" t="s">
        <v>384</v>
      </c>
      <c r="F23" s="92" t="s">
        <v>410</v>
      </c>
      <c r="G23" s="91">
        <v>15</v>
      </c>
      <c r="H23" s="94">
        <v>15</v>
      </c>
      <c r="I23" s="104">
        <f t="shared" si="3"/>
        <v>17.25</v>
      </c>
      <c r="J23" s="167">
        <f t="shared" ref="J23:J24" si="8">SUM(O23:AC23)</f>
        <v>0</v>
      </c>
      <c r="K23" s="168"/>
      <c r="L23" s="168"/>
      <c r="M23" s="164" t="str">
        <f t="shared" si="5"/>
        <v/>
      </c>
      <c r="N23" s="166">
        <f t="shared" si="6"/>
        <v>0</v>
      </c>
      <c r="O23" s="168"/>
      <c r="P23" s="167">
        <f t="shared" si="1"/>
        <v>0</v>
      </c>
      <c r="Q23" s="167">
        <f t="shared" si="2"/>
        <v>0</v>
      </c>
      <c r="R23" s="168"/>
      <c r="S23" s="168"/>
      <c r="T23" s="168"/>
      <c r="U23" s="168"/>
      <c r="V23" s="168"/>
      <c r="W23" s="168"/>
      <c r="X23" s="168"/>
      <c r="Y23" s="168"/>
      <c r="Z23" s="168"/>
      <c r="AA23" s="168"/>
      <c r="AB23" s="168"/>
      <c r="AC23" s="168"/>
    </row>
    <row r="24" spans="1:29" outlineLevel="1">
      <c r="A24" s="93">
        <f t="shared" si="7"/>
        <v>8</v>
      </c>
      <c r="B24" s="93" t="s">
        <v>367</v>
      </c>
      <c r="C24" s="91">
        <v>40662500</v>
      </c>
      <c r="D24" s="92" t="s">
        <v>377</v>
      </c>
      <c r="E24" s="92" t="s">
        <v>385</v>
      </c>
      <c r="F24" s="92" t="s">
        <v>411</v>
      </c>
      <c r="G24" s="91">
        <v>15</v>
      </c>
      <c r="H24" s="94">
        <v>15</v>
      </c>
      <c r="I24" s="104">
        <f t="shared" si="3"/>
        <v>17.25</v>
      </c>
      <c r="J24" s="167">
        <f t="shared" si="8"/>
        <v>0</v>
      </c>
      <c r="K24" s="168"/>
      <c r="L24" s="168"/>
      <c r="M24" s="164" t="str">
        <f t="shared" si="5"/>
        <v/>
      </c>
      <c r="N24" s="166">
        <f t="shared" si="6"/>
        <v>0</v>
      </c>
      <c r="O24" s="168"/>
      <c r="P24" s="167">
        <f t="shared" si="1"/>
        <v>0</v>
      </c>
      <c r="Q24" s="167">
        <f t="shared" si="2"/>
        <v>0</v>
      </c>
      <c r="R24" s="168"/>
      <c r="S24" s="168"/>
      <c r="T24" s="168"/>
      <c r="U24" s="168"/>
      <c r="V24" s="168"/>
      <c r="W24" s="168"/>
      <c r="X24" s="168"/>
      <c r="Y24" s="168"/>
      <c r="Z24" s="168"/>
      <c r="AA24" s="168"/>
      <c r="AB24" s="168"/>
      <c r="AC24" s="168"/>
    </row>
    <row r="25" spans="1:29" outlineLevel="1">
      <c r="A25" s="93">
        <f t="shared" si="7"/>
        <v>9</v>
      </c>
      <c r="B25" s="93" t="s">
        <v>386</v>
      </c>
      <c r="C25" s="91">
        <v>40113600</v>
      </c>
      <c r="D25" s="92" t="s">
        <v>380</v>
      </c>
      <c r="E25" s="92" t="s">
        <v>387</v>
      </c>
      <c r="F25" s="92" t="s">
        <v>412</v>
      </c>
      <c r="G25" s="91">
        <v>15</v>
      </c>
      <c r="H25" s="94">
        <v>15</v>
      </c>
      <c r="I25" s="104">
        <f t="shared" si="3"/>
        <v>17.25</v>
      </c>
      <c r="J25" s="167">
        <f t="shared" si="4"/>
        <v>0</v>
      </c>
      <c r="K25" s="168"/>
      <c r="L25" s="168"/>
      <c r="M25" s="164" t="str">
        <f t="shared" si="5"/>
        <v/>
      </c>
      <c r="N25" s="166">
        <f t="shared" si="6"/>
        <v>0</v>
      </c>
      <c r="O25" s="168"/>
      <c r="P25" s="167">
        <f t="shared" si="1"/>
        <v>0</v>
      </c>
      <c r="Q25" s="167">
        <f t="shared" si="2"/>
        <v>0</v>
      </c>
      <c r="R25" s="168"/>
      <c r="S25" s="168"/>
      <c r="T25" s="168"/>
      <c r="U25" s="168"/>
      <c r="V25" s="168"/>
      <c r="W25" s="168"/>
      <c r="X25" s="168"/>
      <c r="Y25" s="168"/>
      <c r="Z25" s="168"/>
      <c r="AA25" s="168"/>
      <c r="AB25" s="168"/>
      <c r="AC25" s="168"/>
    </row>
    <row r="26" spans="1:29" outlineLevel="1">
      <c r="A26" s="93">
        <f t="shared" si="7"/>
        <v>10</v>
      </c>
      <c r="B26" s="93" t="s">
        <v>368</v>
      </c>
      <c r="C26" s="91">
        <v>40114100</v>
      </c>
      <c r="D26" s="92" t="s">
        <v>380</v>
      </c>
      <c r="E26" s="92" t="s">
        <v>388</v>
      </c>
      <c r="F26" s="92" t="s">
        <v>413</v>
      </c>
      <c r="G26" s="91">
        <v>15</v>
      </c>
      <c r="H26" s="94">
        <v>15</v>
      </c>
      <c r="I26" s="104">
        <f t="shared" si="3"/>
        <v>17.25</v>
      </c>
      <c r="J26" s="167">
        <f t="shared" si="4"/>
        <v>0</v>
      </c>
      <c r="K26" s="168"/>
      <c r="L26" s="168"/>
      <c r="M26" s="164" t="str">
        <f t="shared" si="5"/>
        <v/>
      </c>
      <c r="N26" s="166">
        <f t="shared" si="6"/>
        <v>0</v>
      </c>
      <c r="O26" s="168"/>
      <c r="P26" s="167">
        <f t="shared" si="1"/>
        <v>0</v>
      </c>
      <c r="Q26" s="167">
        <f t="shared" si="2"/>
        <v>0</v>
      </c>
      <c r="R26" s="168"/>
      <c r="S26" s="168"/>
      <c r="T26" s="168"/>
      <c r="U26" s="168"/>
      <c r="V26" s="168"/>
      <c r="W26" s="168"/>
      <c r="X26" s="168"/>
      <c r="Y26" s="168"/>
      <c r="Z26" s="168"/>
      <c r="AA26" s="168"/>
      <c r="AB26" s="168"/>
      <c r="AC26" s="168"/>
    </row>
    <row r="27" spans="1:29" outlineLevel="1">
      <c r="A27" s="93">
        <f t="shared" si="7"/>
        <v>11</v>
      </c>
      <c r="B27" s="93" t="s">
        <v>369</v>
      </c>
      <c r="C27" s="91">
        <v>40564300</v>
      </c>
      <c r="D27" s="92" t="s">
        <v>389</v>
      </c>
      <c r="E27" s="92" t="s">
        <v>390</v>
      </c>
      <c r="F27" s="92" t="s">
        <v>414</v>
      </c>
      <c r="G27" s="91">
        <v>12</v>
      </c>
      <c r="H27" s="94">
        <v>15</v>
      </c>
      <c r="I27" s="104">
        <f t="shared" si="3"/>
        <v>13.799999999999999</v>
      </c>
      <c r="J27" s="167">
        <f t="shared" si="4"/>
        <v>0</v>
      </c>
      <c r="K27" s="168"/>
      <c r="L27" s="168"/>
      <c r="M27" s="164" t="str">
        <f t="shared" si="5"/>
        <v/>
      </c>
      <c r="N27" s="166">
        <f t="shared" si="6"/>
        <v>0</v>
      </c>
      <c r="O27" s="168"/>
      <c r="P27" s="167">
        <f t="shared" si="1"/>
        <v>0</v>
      </c>
      <c r="Q27" s="167">
        <f t="shared" si="2"/>
        <v>0</v>
      </c>
      <c r="R27" s="168"/>
      <c r="S27" s="168"/>
      <c r="T27" s="168"/>
      <c r="U27" s="168"/>
      <c r="V27" s="168"/>
      <c r="W27" s="168"/>
      <c r="X27" s="168"/>
      <c r="Y27" s="168"/>
      <c r="Z27" s="168"/>
      <c r="AA27" s="168"/>
      <c r="AB27" s="168"/>
      <c r="AC27" s="168"/>
    </row>
    <row r="28" spans="1:29" outlineLevel="1">
      <c r="A28" s="93">
        <f t="shared" si="7"/>
        <v>12</v>
      </c>
      <c r="B28" s="93" t="s">
        <v>391</v>
      </c>
      <c r="C28" s="91">
        <v>40114400</v>
      </c>
      <c r="D28" s="92" t="s">
        <v>377</v>
      </c>
      <c r="E28" s="92" t="s">
        <v>392</v>
      </c>
      <c r="F28" s="92" t="s">
        <v>415</v>
      </c>
      <c r="G28" s="91">
        <v>20</v>
      </c>
      <c r="H28" s="94">
        <v>20</v>
      </c>
      <c r="I28" s="104">
        <f t="shared" si="3"/>
        <v>23</v>
      </c>
      <c r="J28" s="167">
        <f t="shared" ref="J28:J35" si="9">SUM(O28:AC28)</f>
        <v>0</v>
      </c>
      <c r="K28" s="168"/>
      <c r="L28" s="168"/>
      <c r="M28" s="164" t="str">
        <f t="shared" ref="M28:M35" si="10">IFERROR(INDEX($F$4:$G$12,MATCH($K28,$G$4:$G$12,0),1),"")</f>
        <v/>
      </c>
      <c r="N28" s="166">
        <f t="shared" si="6"/>
        <v>0</v>
      </c>
      <c r="O28" s="168"/>
      <c r="P28" s="167">
        <f t="shared" si="1"/>
        <v>0</v>
      </c>
      <c r="Q28" s="167">
        <f t="shared" si="2"/>
        <v>0</v>
      </c>
      <c r="R28" s="168"/>
      <c r="S28" s="168"/>
      <c r="T28" s="168"/>
      <c r="U28" s="168"/>
      <c r="V28" s="168"/>
      <c r="W28" s="168"/>
      <c r="X28" s="168"/>
      <c r="Y28" s="168"/>
      <c r="Z28" s="168"/>
      <c r="AA28" s="168"/>
      <c r="AB28" s="168"/>
      <c r="AC28" s="168"/>
    </row>
    <row r="29" spans="1:29" outlineLevel="1">
      <c r="A29" s="93">
        <f t="shared" si="7"/>
        <v>13</v>
      </c>
      <c r="B29" s="93" t="s">
        <v>393</v>
      </c>
      <c r="C29" s="91">
        <v>40114700</v>
      </c>
      <c r="D29" s="92" t="s">
        <v>380</v>
      </c>
      <c r="E29" s="92" t="s">
        <v>394</v>
      </c>
      <c r="F29" s="92" t="s">
        <v>416</v>
      </c>
      <c r="G29" s="91">
        <v>12</v>
      </c>
      <c r="H29" s="94">
        <v>15</v>
      </c>
      <c r="I29" s="104">
        <f t="shared" si="3"/>
        <v>13.799999999999999</v>
      </c>
      <c r="J29" s="167">
        <f t="shared" si="9"/>
        <v>0</v>
      </c>
      <c r="K29" s="168"/>
      <c r="L29" s="168"/>
      <c r="M29" s="164" t="str">
        <f t="shared" si="10"/>
        <v/>
      </c>
      <c r="N29" s="166">
        <f t="shared" si="6"/>
        <v>0</v>
      </c>
      <c r="O29" s="168"/>
      <c r="P29" s="167">
        <f t="shared" si="1"/>
        <v>0</v>
      </c>
      <c r="Q29" s="167">
        <f t="shared" si="2"/>
        <v>0</v>
      </c>
      <c r="R29" s="168"/>
      <c r="S29" s="168"/>
      <c r="T29" s="168"/>
      <c r="U29" s="168"/>
      <c r="V29" s="168"/>
      <c r="W29" s="168"/>
      <c r="X29" s="168"/>
      <c r="Y29" s="168"/>
      <c r="Z29" s="168"/>
      <c r="AA29" s="168"/>
      <c r="AB29" s="168"/>
      <c r="AC29" s="168"/>
    </row>
    <row r="30" spans="1:29" outlineLevel="1">
      <c r="A30" s="93">
        <f t="shared" si="7"/>
        <v>14</v>
      </c>
      <c r="B30" s="93" t="s">
        <v>395</v>
      </c>
      <c r="C30" s="91">
        <v>40115200</v>
      </c>
      <c r="D30" s="92" t="s">
        <v>377</v>
      </c>
      <c r="E30" s="92" t="s">
        <v>396</v>
      </c>
      <c r="F30" s="92" t="s">
        <v>417</v>
      </c>
      <c r="G30" s="91">
        <v>12</v>
      </c>
      <c r="H30" s="94">
        <v>15</v>
      </c>
      <c r="I30" s="104">
        <f t="shared" si="3"/>
        <v>13.799999999999999</v>
      </c>
      <c r="J30" s="167">
        <f t="shared" si="9"/>
        <v>0</v>
      </c>
      <c r="K30" s="168"/>
      <c r="L30" s="168"/>
      <c r="M30" s="164" t="str">
        <f t="shared" si="10"/>
        <v/>
      </c>
      <c r="N30" s="166">
        <f t="shared" si="6"/>
        <v>0</v>
      </c>
      <c r="O30" s="168"/>
      <c r="P30" s="167">
        <f t="shared" si="1"/>
        <v>0</v>
      </c>
      <c r="Q30" s="167">
        <f t="shared" si="2"/>
        <v>0</v>
      </c>
      <c r="R30" s="168"/>
      <c r="S30" s="168"/>
      <c r="T30" s="168"/>
      <c r="U30" s="168"/>
      <c r="V30" s="168"/>
      <c r="W30" s="168"/>
      <c r="X30" s="168"/>
      <c r="Y30" s="168"/>
      <c r="Z30" s="168"/>
      <c r="AA30" s="168"/>
      <c r="AB30" s="168"/>
      <c r="AC30" s="168"/>
    </row>
    <row r="31" spans="1:29" outlineLevel="1">
      <c r="A31" s="93">
        <f t="shared" si="7"/>
        <v>15</v>
      </c>
      <c r="B31" s="93" t="s">
        <v>397</v>
      </c>
      <c r="C31" s="91">
        <v>40115500</v>
      </c>
      <c r="D31" s="92" t="s">
        <v>380</v>
      </c>
      <c r="E31" s="92" t="s">
        <v>398</v>
      </c>
      <c r="F31" s="92" t="s">
        <v>418</v>
      </c>
      <c r="G31" s="91">
        <v>15</v>
      </c>
      <c r="H31" s="94">
        <v>15</v>
      </c>
      <c r="I31" s="104">
        <f t="shared" si="3"/>
        <v>17.25</v>
      </c>
      <c r="J31" s="167">
        <f t="shared" si="9"/>
        <v>0</v>
      </c>
      <c r="K31" s="168"/>
      <c r="L31" s="168"/>
      <c r="M31" s="164" t="str">
        <f t="shared" si="10"/>
        <v/>
      </c>
      <c r="N31" s="166">
        <f t="shared" si="6"/>
        <v>0</v>
      </c>
      <c r="O31" s="168"/>
      <c r="P31" s="167">
        <f t="shared" si="1"/>
        <v>0</v>
      </c>
      <c r="Q31" s="167">
        <f t="shared" si="2"/>
        <v>0</v>
      </c>
      <c r="R31" s="168"/>
      <c r="S31" s="168"/>
      <c r="T31" s="168"/>
      <c r="U31" s="168"/>
      <c r="V31" s="168"/>
      <c r="W31" s="168"/>
      <c r="X31" s="168"/>
      <c r="Y31" s="168"/>
      <c r="Z31" s="168"/>
      <c r="AA31" s="168"/>
      <c r="AB31" s="168"/>
      <c r="AC31" s="168"/>
    </row>
    <row r="32" spans="1:29" outlineLevel="1">
      <c r="A32" s="93">
        <f t="shared" si="7"/>
        <v>16</v>
      </c>
      <c r="B32" s="93" t="s">
        <v>399</v>
      </c>
      <c r="C32" s="91">
        <v>40117500</v>
      </c>
      <c r="D32" s="92" t="s">
        <v>374</v>
      </c>
      <c r="E32" s="92" t="s">
        <v>400</v>
      </c>
      <c r="F32" s="92" t="s">
        <v>419</v>
      </c>
      <c r="G32" s="91">
        <v>15</v>
      </c>
      <c r="H32" s="94">
        <v>15</v>
      </c>
      <c r="I32" s="104">
        <f t="shared" si="3"/>
        <v>17.25</v>
      </c>
      <c r="J32" s="167">
        <f t="shared" si="9"/>
        <v>0</v>
      </c>
      <c r="K32" s="168"/>
      <c r="L32" s="168"/>
      <c r="M32" s="164" t="str">
        <f t="shared" si="10"/>
        <v/>
      </c>
      <c r="N32" s="166">
        <f t="shared" si="6"/>
        <v>0</v>
      </c>
      <c r="O32" s="168"/>
      <c r="P32" s="167">
        <f t="shared" si="1"/>
        <v>0</v>
      </c>
      <c r="Q32" s="167">
        <f t="shared" si="2"/>
        <v>0</v>
      </c>
      <c r="R32" s="168"/>
      <c r="S32" s="168"/>
      <c r="T32" s="168"/>
      <c r="U32" s="168"/>
      <c r="V32" s="168"/>
      <c r="W32" s="168"/>
      <c r="X32" s="168"/>
      <c r="Y32" s="168"/>
      <c r="Z32" s="168"/>
      <c r="AA32" s="168"/>
      <c r="AB32" s="168"/>
      <c r="AC32" s="168"/>
    </row>
    <row r="33" spans="1:29" outlineLevel="1">
      <c r="A33" s="93">
        <f t="shared" si="7"/>
        <v>17</v>
      </c>
      <c r="B33" s="93" t="s">
        <v>401</v>
      </c>
      <c r="C33" s="91">
        <v>40117800</v>
      </c>
      <c r="D33" s="92" t="s">
        <v>374</v>
      </c>
      <c r="E33" s="92" t="s">
        <v>402</v>
      </c>
      <c r="F33" s="92" t="s">
        <v>420</v>
      </c>
      <c r="G33" s="91">
        <v>12</v>
      </c>
      <c r="H33" s="94">
        <v>15</v>
      </c>
      <c r="I33" s="104">
        <f t="shared" si="3"/>
        <v>13.799999999999999</v>
      </c>
      <c r="J33" s="167">
        <f t="shared" si="9"/>
        <v>0</v>
      </c>
      <c r="K33" s="168"/>
      <c r="L33" s="168"/>
      <c r="M33" s="164" t="str">
        <f t="shared" si="10"/>
        <v/>
      </c>
      <c r="N33" s="166">
        <f t="shared" si="6"/>
        <v>0</v>
      </c>
      <c r="O33" s="168"/>
      <c r="P33" s="167">
        <f t="shared" si="1"/>
        <v>0</v>
      </c>
      <c r="Q33" s="167">
        <f t="shared" si="2"/>
        <v>0</v>
      </c>
      <c r="R33" s="168"/>
      <c r="S33" s="168"/>
      <c r="T33" s="168"/>
      <c r="U33" s="168"/>
      <c r="V33" s="168"/>
      <c r="W33" s="168"/>
      <c r="X33" s="168"/>
      <c r="Y33" s="168"/>
      <c r="Z33" s="168"/>
      <c r="AA33" s="168"/>
      <c r="AB33" s="168"/>
      <c r="AC33" s="168"/>
    </row>
    <row r="34" spans="1:29" outlineLevel="1">
      <c r="A34" s="93">
        <v>18</v>
      </c>
      <c r="B34" s="93" t="s">
        <v>403</v>
      </c>
      <c r="C34" s="91">
        <v>40118000</v>
      </c>
      <c r="D34" s="92" t="s">
        <v>360</v>
      </c>
      <c r="E34" s="92" t="s">
        <v>404</v>
      </c>
      <c r="F34" s="92" t="s">
        <v>421</v>
      </c>
      <c r="G34" s="91">
        <v>15</v>
      </c>
      <c r="H34" s="94">
        <v>15</v>
      </c>
      <c r="I34" s="104">
        <f t="shared" ref="I34" si="11">G34*1.15</f>
        <v>17.25</v>
      </c>
      <c r="J34" s="167">
        <f t="shared" ref="J34" si="12">SUM(O34:AC34)</f>
        <v>0</v>
      </c>
      <c r="K34" s="168"/>
      <c r="L34" s="168"/>
      <c r="M34" s="164" t="str">
        <f t="shared" si="10"/>
        <v/>
      </c>
      <c r="N34" s="166">
        <f t="shared" si="6"/>
        <v>0</v>
      </c>
      <c r="O34" s="168"/>
      <c r="P34" s="167">
        <f t="shared" si="1"/>
        <v>0</v>
      </c>
      <c r="Q34" s="167">
        <f t="shared" si="2"/>
        <v>0</v>
      </c>
      <c r="R34" s="168"/>
      <c r="S34" s="168"/>
      <c r="T34" s="168"/>
      <c r="U34" s="168"/>
      <c r="V34" s="168"/>
      <c r="W34" s="168"/>
      <c r="X34" s="168"/>
      <c r="Y34" s="168"/>
      <c r="Z34" s="168"/>
      <c r="AA34" s="168"/>
      <c r="AB34" s="168"/>
      <c r="AC34" s="168"/>
    </row>
    <row r="35" spans="1:29" outlineLevel="1">
      <c r="A35" s="93">
        <v>19</v>
      </c>
      <c r="B35" s="93" t="s">
        <v>423</v>
      </c>
      <c r="C35" s="91"/>
      <c r="D35" s="92" t="s">
        <v>380</v>
      </c>
      <c r="E35" s="92" t="s">
        <v>424</v>
      </c>
      <c r="F35" s="92" t="s">
        <v>425</v>
      </c>
      <c r="G35" s="91">
        <v>25</v>
      </c>
      <c r="H35" s="94">
        <v>30</v>
      </c>
      <c r="I35" s="104">
        <f t="shared" si="3"/>
        <v>28.749999999999996</v>
      </c>
      <c r="J35" s="167">
        <f t="shared" si="9"/>
        <v>0</v>
      </c>
      <c r="K35" s="168"/>
      <c r="L35" s="168"/>
      <c r="M35" s="164" t="str">
        <f t="shared" si="10"/>
        <v/>
      </c>
      <c r="N35" s="166">
        <f t="shared" si="6"/>
        <v>0</v>
      </c>
      <c r="O35" s="168"/>
      <c r="P35" s="167">
        <f t="shared" si="1"/>
        <v>0</v>
      </c>
      <c r="Q35" s="167">
        <f t="shared" si="2"/>
        <v>0</v>
      </c>
      <c r="R35" s="168"/>
      <c r="S35" s="168"/>
      <c r="T35" s="168"/>
      <c r="U35" s="168"/>
      <c r="V35" s="168"/>
      <c r="W35" s="168"/>
      <c r="X35" s="168"/>
      <c r="Y35" s="168"/>
      <c r="Z35" s="168"/>
      <c r="AA35" s="168"/>
      <c r="AB35" s="168"/>
      <c r="AC35" s="168"/>
    </row>
    <row r="36" spans="1:29">
      <c r="F36" s="128" t="s">
        <v>182</v>
      </c>
      <c r="G36" s="129">
        <f t="shared" ref="G36:L36" si="13">SUM(G17:G35)</f>
        <v>282</v>
      </c>
      <c r="H36" s="129">
        <f t="shared" si="13"/>
        <v>305</v>
      </c>
      <c r="I36" s="130">
        <f t="shared" si="13"/>
        <v>324.3</v>
      </c>
      <c r="J36" s="169">
        <f t="shared" si="13"/>
        <v>0</v>
      </c>
      <c r="K36" s="169">
        <f t="shared" si="13"/>
        <v>0</v>
      </c>
      <c r="L36" s="169">
        <f t="shared" si="13"/>
        <v>0</v>
      </c>
      <c r="M36" s="130"/>
      <c r="N36" s="169">
        <f t="shared" ref="N36:AC36" si="14">SUM(N17:N35)</f>
        <v>0</v>
      </c>
      <c r="O36" s="169">
        <f t="shared" si="14"/>
        <v>0</v>
      </c>
      <c r="P36" s="169">
        <f t="shared" si="14"/>
        <v>0</v>
      </c>
      <c r="Q36" s="169">
        <f t="shared" si="14"/>
        <v>0</v>
      </c>
      <c r="R36" s="169">
        <f t="shared" si="14"/>
        <v>0</v>
      </c>
      <c r="S36" s="169">
        <f t="shared" si="14"/>
        <v>0</v>
      </c>
      <c r="T36" s="169">
        <f t="shared" si="14"/>
        <v>0</v>
      </c>
      <c r="U36" s="169">
        <f t="shared" si="14"/>
        <v>0</v>
      </c>
      <c r="V36" s="169">
        <f t="shared" si="14"/>
        <v>0</v>
      </c>
      <c r="W36" s="169">
        <f t="shared" si="14"/>
        <v>0</v>
      </c>
      <c r="X36" s="169">
        <f t="shared" si="14"/>
        <v>0</v>
      </c>
      <c r="Y36" s="169">
        <f t="shared" si="14"/>
        <v>0</v>
      </c>
      <c r="Z36" s="169">
        <f t="shared" si="14"/>
        <v>0</v>
      </c>
      <c r="AA36" s="169">
        <f t="shared" si="14"/>
        <v>0</v>
      </c>
      <c r="AB36" s="169">
        <f t="shared" si="14"/>
        <v>0</v>
      </c>
      <c r="AC36" s="169">
        <f t="shared" si="14"/>
        <v>0</v>
      </c>
    </row>
    <row r="37" spans="1:29" ht="12">
      <c r="A37" s="134" t="s">
        <v>21</v>
      </c>
      <c r="B37" s="134"/>
      <c r="C37" s="135"/>
      <c r="D37" s="135"/>
      <c r="E37" s="136"/>
      <c r="F37" s="136"/>
      <c r="G37" s="136"/>
      <c r="H37" s="3"/>
      <c r="I37" s="3"/>
      <c r="K37" s="170"/>
      <c r="L37" s="170"/>
    </row>
    <row r="38" spans="1:29" ht="12">
      <c r="A38" s="186">
        <v>1</v>
      </c>
      <c r="B38" s="187" t="s">
        <v>22</v>
      </c>
      <c r="C38" s="192"/>
      <c r="D38" s="192"/>
      <c r="E38" s="192"/>
      <c r="F38" s="3"/>
      <c r="G38" s="3"/>
      <c r="H38" s="122"/>
      <c r="I38" s="136" t="s">
        <v>23</v>
      </c>
    </row>
    <row r="39" spans="1:29" ht="12">
      <c r="A39" s="186">
        <f t="shared" ref="A39:A51" si="15">1+A38</f>
        <v>2</v>
      </c>
      <c r="B39" s="187" t="s">
        <v>272</v>
      </c>
      <c r="C39" s="192"/>
      <c r="D39" s="192"/>
      <c r="E39" s="192"/>
      <c r="F39" s="3"/>
      <c r="G39" s="3"/>
      <c r="H39" s="122"/>
      <c r="I39" s="136" t="s">
        <v>25</v>
      </c>
    </row>
    <row r="40" spans="1:29" ht="12">
      <c r="A40" s="186">
        <f t="shared" si="15"/>
        <v>3</v>
      </c>
      <c r="B40" s="187" t="s">
        <v>273</v>
      </c>
      <c r="C40" s="192"/>
      <c r="D40" s="192"/>
      <c r="E40" s="192"/>
      <c r="F40" s="3"/>
      <c r="G40" s="3"/>
      <c r="H40" s="122"/>
      <c r="I40" s="136" t="s">
        <v>27</v>
      </c>
    </row>
    <row r="41" spans="1:29" ht="12">
      <c r="A41" s="186">
        <f t="shared" si="15"/>
        <v>4</v>
      </c>
      <c r="B41" s="187" t="s">
        <v>42</v>
      </c>
      <c r="C41" s="192"/>
      <c r="D41" s="192"/>
      <c r="E41" s="192"/>
      <c r="F41" s="3"/>
      <c r="G41" s="3"/>
      <c r="H41" s="122"/>
      <c r="I41" s="196" t="s">
        <v>281</v>
      </c>
    </row>
    <row r="42" spans="1:29" ht="12">
      <c r="A42" s="186">
        <f t="shared" si="15"/>
        <v>5</v>
      </c>
      <c r="B42" s="187" t="s">
        <v>28</v>
      </c>
      <c r="C42" s="187"/>
      <c r="D42" s="187"/>
      <c r="E42" s="187"/>
      <c r="F42" s="3"/>
      <c r="G42" s="3"/>
      <c r="H42" s="122"/>
      <c r="I42" s="196" t="s">
        <v>29</v>
      </c>
    </row>
    <row r="43" spans="1:29" ht="12">
      <c r="A43" s="186">
        <f t="shared" si="15"/>
        <v>6</v>
      </c>
      <c r="B43" s="187" t="s">
        <v>113</v>
      </c>
      <c r="C43" s="192"/>
      <c r="D43" s="192"/>
      <c r="E43" s="192"/>
      <c r="F43" s="3"/>
      <c r="G43" s="3"/>
      <c r="H43" s="122"/>
      <c r="I43" s="196" t="s">
        <v>293</v>
      </c>
    </row>
    <row r="44" spans="1:29" ht="12">
      <c r="A44" s="186">
        <f t="shared" si="15"/>
        <v>7</v>
      </c>
      <c r="B44" s="187" t="s">
        <v>30</v>
      </c>
      <c r="C44" s="187"/>
      <c r="D44" s="187"/>
      <c r="E44" s="187"/>
      <c r="F44" s="3"/>
      <c r="G44" s="3"/>
      <c r="H44" s="122"/>
      <c r="I44" s="196" t="s">
        <v>31</v>
      </c>
    </row>
    <row r="45" spans="1:29" ht="12">
      <c r="A45" s="186">
        <f t="shared" si="15"/>
        <v>8</v>
      </c>
      <c r="B45" s="189" t="s">
        <v>32</v>
      </c>
      <c r="C45" s="189"/>
      <c r="D45" s="189"/>
      <c r="E45" s="189"/>
      <c r="F45" s="3"/>
      <c r="G45" s="3"/>
      <c r="H45" s="122"/>
      <c r="I45" s="189" t="s">
        <v>33</v>
      </c>
    </row>
    <row r="46" spans="1:29" ht="12">
      <c r="A46" s="186">
        <f t="shared" si="15"/>
        <v>9</v>
      </c>
      <c r="B46" s="189" t="s">
        <v>34</v>
      </c>
      <c r="C46" s="189"/>
      <c r="D46" s="189"/>
      <c r="E46" s="189"/>
      <c r="F46" s="3"/>
      <c r="G46" s="3"/>
      <c r="H46" s="122"/>
      <c r="I46" s="189" t="s">
        <v>35</v>
      </c>
    </row>
    <row r="47" spans="1:29" ht="12">
      <c r="A47" s="186">
        <f t="shared" si="15"/>
        <v>10</v>
      </c>
      <c r="B47" s="188" t="s">
        <v>36</v>
      </c>
      <c r="C47" s="188"/>
      <c r="D47" s="188"/>
      <c r="E47" s="188"/>
      <c r="F47" s="3"/>
      <c r="G47" s="3"/>
      <c r="H47" s="122"/>
      <c r="I47" s="189" t="s">
        <v>37</v>
      </c>
    </row>
    <row r="48" spans="1:29" ht="12">
      <c r="A48" s="186">
        <f t="shared" si="15"/>
        <v>11</v>
      </c>
      <c r="B48" s="188" t="s">
        <v>38</v>
      </c>
      <c r="C48" s="185" t="s">
        <v>39</v>
      </c>
      <c r="D48" s="185"/>
      <c r="E48" s="185"/>
      <c r="F48" s="185"/>
      <c r="G48" s="136"/>
      <c r="H48" s="3"/>
      <c r="I48" s="3"/>
    </row>
    <row r="49" spans="1:9" ht="12">
      <c r="A49" s="186">
        <f t="shared" si="15"/>
        <v>12</v>
      </c>
      <c r="B49" s="189" t="s">
        <v>40</v>
      </c>
      <c r="C49" s="193"/>
      <c r="D49" s="193"/>
      <c r="E49" s="193"/>
      <c r="F49" s="193"/>
      <c r="G49" s="193"/>
      <c r="H49" s="3"/>
      <c r="I49" s="3"/>
    </row>
    <row r="50" spans="1:9" ht="12">
      <c r="A50" s="186">
        <f t="shared" si="15"/>
        <v>13</v>
      </c>
      <c r="B50" s="191" t="s">
        <v>52</v>
      </c>
      <c r="C50" s="194"/>
      <c r="D50" s="194"/>
      <c r="E50" s="194"/>
      <c r="F50" s="195"/>
      <c r="G50" s="194"/>
      <c r="H50" s="3"/>
      <c r="I50" s="3"/>
    </row>
    <row r="51" spans="1:9" ht="12">
      <c r="A51" s="187">
        <f t="shared" si="15"/>
        <v>14</v>
      </c>
      <c r="B51" s="190" t="s">
        <v>41</v>
      </c>
      <c r="C51" s="193"/>
      <c r="D51" s="193"/>
      <c r="E51" s="193"/>
      <c r="F51" s="193"/>
      <c r="G51" s="193"/>
      <c r="H51" s="3"/>
      <c r="I51" s="3"/>
    </row>
  </sheetData>
  <protectedRanges>
    <protectedRange sqref="E4:E6 D15 C8:E13" name="Діапазон1_2_1"/>
  </protectedRanges>
  <autoFilter ref="A16:AC35" xr:uid="{00000000-0009-0000-0000-000002000000}"/>
  <hyperlinks>
    <hyperlink ref="C48" r:id="rId1" xr:uid="{00000000-0004-0000-0200-000000000000}"/>
  </hyperlinks>
  <pageMargins left="0.7" right="0.7" top="0.75" bottom="0.75" header="0.3" footer="0.3"/>
  <pageSetup paperSize="9" orientation="portrait" horizontalDpi="300" verticalDpi="300" r:id="rId2"/>
  <customProperties>
    <customPr name="_pios_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2:D7"/>
  <sheetViews>
    <sheetView showGridLines="0" workbookViewId="0">
      <pane xSplit="4" ySplit="2" topLeftCell="E3" activePane="bottomRight" state="frozen"/>
      <selection pane="topRight" activeCell="E1" sqref="E1"/>
      <selection pane="bottomLeft" activeCell="A3" sqref="A3"/>
      <selection pane="bottomRight" activeCell="H4" sqref="H4"/>
    </sheetView>
  </sheetViews>
  <sheetFormatPr defaultRowHeight="11.25"/>
  <cols>
    <col min="1" max="1" width="24.5" customWidth="1"/>
    <col min="2" max="2" width="101.83203125" customWidth="1"/>
    <col min="3" max="3" width="63.6640625" customWidth="1"/>
    <col min="4" max="4" width="33.33203125" customWidth="1"/>
  </cols>
  <sheetData>
    <row r="2" spans="1:4" ht="15">
      <c r="A2" s="172" t="s">
        <v>300</v>
      </c>
      <c r="B2" s="172" t="s">
        <v>299</v>
      </c>
      <c r="C2" s="172" t="s">
        <v>251</v>
      </c>
      <c r="D2" s="172" t="s">
        <v>301</v>
      </c>
    </row>
    <row r="3" spans="1:4" ht="25.5" customHeight="1" thickBot="1">
      <c r="A3" s="174" t="s">
        <v>51</v>
      </c>
      <c r="B3" s="174" t="s">
        <v>277</v>
      </c>
      <c r="C3" s="175"/>
      <c r="D3" s="176" t="s">
        <v>303</v>
      </c>
    </row>
    <row r="4" spans="1:4" ht="63" customHeight="1" thickBot="1">
      <c r="A4" s="174" t="s">
        <v>122</v>
      </c>
      <c r="B4" s="174" t="s">
        <v>344</v>
      </c>
      <c r="C4" s="175"/>
      <c r="D4" s="176" t="s">
        <v>342</v>
      </c>
    </row>
    <row r="5" spans="1:4" ht="224.25" customHeight="1" thickBot="1">
      <c r="A5" s="174" t="s">
        <v>47</v>
      </c>
      <c r="B5" s="174" t="s">
        <v>347</v>
      </c>
      <c r="C5" s="175"/>
      <c r="D5" s="176" t="s">
        <v>302</v>
      </c>
    </row>
    <row r="6" spans="1:4" ht="138.75" customHeight="1" thickBot="1">
      <c r="A6" s="174" t="s">
        <v>18</v>
      </c>
      <c r="B6" s="174" t="s">
        <v>120</v>
      </c>
      <c r="C6" s="175"/>
      <c r="D6" s="176" t="s">
        <v>304</v>
      </c>
    </row>
    <row r="7" spans="1:4" ht="51" customHeight="1" thickBot="1">
      <c r="A7" s="174" t="s">
        <v>53</v>
      </c>
      <c r="B7" s="174" t="s">
        <v>121</v>
      </c>
      <c r="C7" s="175"/>
      <c r="D7" s="176"/>
    </row>
  </sheetData>
  <protectedRanges>
    <protectedRange sqref="B3" name="Діапазон2"/>
    <protectedRange sqref="A3" name="Діапазон1_1"/>
    <protectedRange sqref="A5" name="Діапазон1_2"/>
    <protectedRange sqref="B5" name="Діапазон1_2_2"/>
    <protectedRange sqref="A6:B6" name="Діапазон1_2_1"/>
    <protectedRange sqref="A7" name="Діапазон2_1"/>
    <protectedRange sqref="B7" name="Діапазон1_3"/>
    <protectedRange sqref="A4:B4" name="Діапазон2_2"/>
  </protectedRanges>
  <pageMargins left="0.7" right="0.7" top="0.75" bottom="0.75" header="0.3" footer="0.3"/>
  <customProperties>
    <customPr name="_pios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R54"/>
  <sheetViews>
    <sheetView showGridLines="0" zoomScale="70" zoomScaleNormal="70" workbookViewId="0">
      <pane xSplit="9" ySplit="5" topLeftCell="J6" activePane="bottomRight" state="frozen"/>
      <selection activeCell="N46" sqref="N46"/>
      <selection pane="topRight" activeCell="N46" sqref="N46"/>
      <selection pane="bottomLeft" activeCell="N46" sqref="N46"/>
      <selection pane="bottomRight" activeCell="M29" sqref="M29"/>
    </sheetView>
  </sheetViews>
  <sheetFormatPr defaultColWidth="10.33203125" defaultRowHeight="11.25"/>
  <cols>
    <col min="1" max="1" width="3.6640625" customWidth="1"/>
    <col min="2" max="2" width="23.33203125" customWidth="1"/>
    <col min="3" max="3" width="41.5" customWidth="1"/>
    <col min="4" max="4" width="16.33203125" customWidth="1"/>
    <col min="5" max="5" width="6.5" customWidth="1"/>
    <col min="6" max="6" width="10.83203125" customWidth="1"/>
    <col min="7" max="7" width="9.33203125" customWidth="1"/>
    <col min="8" max="8" width="13.33203125" customWidth="1"/>
    <col min="9" max="9" width="20.5" customWidth="1"/>
    <col min="10" max="10" width="32.33203125" customWidth="1"/>
    <col min="11" max="11" width="10.83203125" customWidth="1"/>
    <col min="15" max="15" width="24.6640625" customWidth="1"/>
    <col min="17" max="17" width="30" customWidth="1"/>
    <col min="18" max="18" width="16" customWidth="1"/>
  </cols>
  <sheetData>
    <row r="1" spans="1:12" s="3" customFormat="1" ht="15.75" customHeight="1">
      <c r="B1" s="247" t="s">
        <v>8</v>
      </c>
      <c r="C1" s="248"/>
      <c r="D1" s="248"/>
      <c r="E1" s="248"/>
      <c r="F1" s="248"/>
      <c r="G1" s="248"/>
      <c r="H1" s="248"/>
      <c r="I1" s="248"/>
      <c r="J1" s="4"/>
      <c r="K1" s="155">
        <v>40610200</v>
      </c>
      <c r="L1" s="2" t="s">
        <v>255</v>
      </c>
    </row>
    <row r="2" spans="1:12" ht="30" customHeight="1" thickBot="1">
      <c r="A2" s="42"/>
      <c r="B2" s="249" t="str">
        <f>"Встановлення сонячної електростанції на  АЗС-"&amp;INDEX(Зведено!$B$15:$C$40,MATCH($K$1,Зведено!$C$15:$C$40,0),1)&amp;" "&amp;VLOOKUP($K$1,Зведено!$C$15:$H$40,3,0)&amp;" потужністю "&amp;VLOOKUP($K$1,Зведено!$C$15:$H$40,5,0)&amp;" кВт, для використання електроенергії під власні потреби"</f>
        <v>Встановлення сонячної електростанції на  АЗС-АЗС_02 м. Рівне, вул. Василя Червонія, 18 потужністю 12 кВт, для використання електроенергії під власні потреби</v>
      </c>
      <c r="C2" s="249"/>
      <c r="D2" s="249"/>
      <c r="E2" s="249"/>
      <c r="F2" s="249"/>
      <c r="G2" s="249"/>
      <c r="H2" s="249"/>
      <c r="I2" s="249"/>
      <c r="J2" s="42"/>
      <c r="K2" s="151">
        <f>Зведено!$H$2</f>
        <v>42.195900000000002</v>
      </c>
      <c r="L2" s="2" t="s">
        <v>365</v>
      </c>
    </row>
    <row r="3" spans="1:12" s="2" customFormat="1" ht="39.75" customHeight="1" thickBot="1">
      <c r="A3" s="40" t="s">
        <v>0</v>
      </c>
      <c r="B3" s="26" t="s">
        <v>6</v>
      </c>
      <c r="C3" s="250" t="s">
        <v>7</v>
      </c>
      <c r="D3" s="251"/>
      <c r="E3" s="252"/>
      <c r="F3" s="26" t="s">
        <v>16</v>
      </c>
      <c r="G3" s="26" t="s">
        <v>1</v>
      </c>
      <c r="H3" s="26" t="s">
        <v>19</v>
      </c>
      <c r="I3" s="26" t="s">
        <v>17</v>
      </c>
      <c r="J3" s="41" t="s">
        <v>45</v>
      </c>
      <c r="K3" s="151">
        <f>Зведено!$H$2</f>
        <v>42.195900000000002</v>
      </c>
      <c r="L3" s="2" t="s">
        <v>291</v>
      </c>
    </row>
    <row r="4" spans="1:12" s="2" customFormat="1" ht="10.5" customHeight="1" thickBot="1">
      <c r="A4" s="25">
        <v>1</v>
      </c>
      <c r="B4" s="26">
        <v>2</v>
      </c>
      <c r="C4" s="250">
        <v>3</v>
      </c>
      <c r="D4" s="251"/>
      <c r="E4" s="252"/>
      <c r="F4" s="27">
        <v>4</v>
      </c>
      <c r="G4" s="27">
        <v>5</v>
      </c>
      <c r="H4" s="27">
        <v>6</v>
      </c>
      <c r="I4" s="27">
        <v>7</v>
      </c>
      <c r="J4" s="28">
        <v>8</v>
      </c>
      <c r="K4" s="23"/>
    </row>
    <row r="5" spans="1:12" s="2" customFormat="1" ht="18.75" customHeight="1" thickBot="1">
      <c r="A5" s="156"/>
      <c r="B5" s="157"/>
      <c r="C5" s="158" t="s">
        <v>276</v>
      </c>
      <c r="D5" s="159"/>
      <c r="E5" s="160"/>
      <c r="F5" s="161" t="s">
        <v>287</v>
      </c>
      <c r="G5" s="150">
        <f>VLOOKUP($K$1,Зведено!$C$15:$AC$39,5,0)</f>
        <v>12</v>
      </c>
      <c r="H5" s="162">
        <f>I5/G5</f>
        <v>0</v>
      </c>
      <c r="I5" s="162">
        <f>SUM(I6:I37)</f>
        <v>0</v>
      </c>
      <c r="J5" s="163"/>
    </row>
    <row r="6" spans="1:12" s="2" customFormat="1" ht="63" customHeight="1">
      <c r="A6" s="60">
        <v>1</v>
      </c>
      <c r="B6" s="61" t="s">
        <v>290</v>
      </c>
      <c r="C6" s="253" t="s">
        <v>123</v>
      </c>
      <c r="D6" s="254"/>
      <c r="E6" s="255"/>
      <c r="F6" s="62" t="s">
        <v>15</v>
      </c>
      <c r="G6" s="63">
        <v>1</v>
      </c>
      <c r="H6" s="150">
        <f>VLOOKUP($K$1,Зведено!$C$15:$AC$39,14,0)</f>
        <v>0</v>
      </c>
      <c r="I6" s="64">
        <f t="shared" ref="I6" si="0">H6*G6</f>
        <v>0</v>
      </c>
      <c r="J6" s="65" t="s">
        <v>60</v>
      </c>
    </row>
    <row r="7" spans="1:12" s="1" customFormat="1" ht="18" customHeight="1">
      <c r="A7" s="276">
        <v>2</v>
      </c>
      <c r="B7" s="279" t="str">
        <f xml:space="preserve"> "Сонячна панелі "&amp;Зведено!$E$4&amp;" "&amp;Зведено!$E$5</f>
        <v xml:space="preserve">Сонячна панелі  </v>
      </c>
      <c r="C7" s="66" t="s">
        <v>84</v>
      </c>
      <c r="D7" s="144">
        <f>Зведено!$E$8</f>
        <v>0</v>
      </c>
      <c r="E7" s="67" t="s">
        <v>90</v>
      </c>
      <c r="F7" s="265" t="s">
        <v>13</v>
      </c>
      <c r="G7" s="268">
        <f>VLOOKUP($K$1,Зведено!$C$15:$AC$39,10,0)</f>
        <v>0</v>
      </c>
      <c r="H7" s="256">
        <f>Зведено!$E$7/Зведено!$H$2*ШаблонДляАкту!$K$3</f>
        <v>0</v>
      </c>
      <c r="I7" s="256">
        <f>H7*G7</f>
        <v>0</v>
      </c>
      <c r="J7" s="259" t="s">
        <v>59</v>
      </c>
    </row>
    <row r="8" spans="1:12" s="1" customFormat="1" ht="13.5" customHeight="1">
      <c r="A8" s="277"/>
      <c r="B8" s="280"/>
      <c r="C8" s="68" t="s">
        <v>83</v>
      </c>
      <c r="D8" s="69"/>
      <c r="E8" s="70"/>
      <c r="F8" s="266"/>
      <c r="G8" s="269"/>
      <c r="H8" s="257"/>
      <c r="I8" s="257"/>
      <c r="J8" s="260"/>
    </row>
    <row r="9" spans="1:12" s="1" customFormat="1" ht="14.25" customHeight="1">
      <c r="A9" s="277"/>
      <c r="B9" s="280"/>
      <c r="C9" s="68" t="s">
        <v>85</v>
      </c>
      <c r="D9" s="143">
        <f>Зведено!$E8</f>
        <v>0</v>
      </c>
      <c r="E9" s="70" t="s">
        <v>91</v>
      </c>
      <c r="F9" s="266"/>
      <c r="G9" s="269"/>
      <c r="H9" s="257"/>
      <c r="I9" s="257"/>
      <c r="J9" s="260"/>
    </row>
    <row r="10" spans="1:12" s="1" customFormat="1" ht="15" customHeight="1">
      <c r="A10" s="277"/>
      <c r="B10" s="280"/>
      <c r="C10" s="68" t="s">
        <v>87</v>
      </c>
      <c r="D10" s="143">
        <f>Зведено!$E9</f>
        <v>0</v>
      </c>
      <c r="E10" s="70" t="s">
        <v>92</v>
      </c>
      <c r="F10" s="266"/>
      <c r="G10" s="269"/>
      <c r="H10" s="257"/>
      <c r="I10" s="257"/>
      <c r="J10" s="260"/>
    </row>
    <row r="11" spans="1:12" s="1" customFormat="1" ht="12.75" customHeight="1">
      <c r="A11" s="277"/>
      <c r="B11" s="280"/>
      <c r="C11" s="68" t="s">
        <v>86</v>
      </c>
      <c r="D11" s="143">
        <f>Зведено!$E10</f>
        <v>0</v>
      </c>
      <c r="E11" s="70" t="s">
        <v>91</v>
      </c>
      <c r="F11" s="266"/>
      <c r="G11" s="269"/>
      <c r="H11" s="257"/>
      <c r="I11" s="257"/>
      <c r="J11" s="260"/>
    </row>
    <row r="12" spans="1:12" s="1" customFormat="1" ht="15.75" customHeight="1">
      <c r="A12" s="277"/>
      <c r="B12" s="280"/>
      <c r="C12" s="68" t="s">
        <v>88</v>
      </c>
      <c r="D12" s="143">
        <f>Зведено!$E11</f>
        <v>0</v>
      </c>
      <c r="E12" s="70" t="s">
        <v>92</v>
      </c>
      <c r="F12" s="266"/>
      <c r="G12" s="269"/>
      <c r="H12" s="257"/>
      <c r="I12" s="257"/>
      <c r="J12" s="260"/>
    </row>
    <row r="13" spans="1:12" s="1" customFormat="1" ht="16.5" customHeight="1">
      <c r="A13" s="277"/>
      <c r="B13" s="280"/>
      <c r="C13" s="68" t="s">
        <v>89</v>
      </c>
      <c r="D13" s="143">
        <f>Зведено!$E12</f>
        <v>0</v>
      </c>
      <c r="E13" s="70" t="s">
        <v>98</v>
      </c>
      <c r="F13" s="266"/>
      <c r="G13" s="269"/>
      <c r="H13" s="257"/>
      <c r="I13" s="257"/>
      <c r="J13" s="260"/>
    </row>
    <row r="14" spans="1:12" s="1" customFormat="1" ht="15" customHeight="1">
      <c r="A14" s="278"/>
      <c r="B14" s="281"/>
      <c r="C14" s="154" t="s">
        <v>288</v>
      </c>
      <c r="D14" s="152"/>
      <c r="E14" s="153"/>
      <c r="F14" s="267"/>
      <c r="G14" s="270"/>
      <c r="H14" s="258"/>
      <c r="I14" s="258"/>
      <c r="J14" s="261"/>
    </row>
    <row r="15" spans="1:12" s="1" customFormat="1" ht="25.5" customHeight="1">
      <c r="A15" s="262">
        <v>3</v>
      </c>
      <c r="B15" s="71" t="s">
        <v>72</v>
      </c>
      <c r="C15" s="72" t="s">
        <v>73</v>
      </c>
      <c r="D15" s="73" t="e">
        <f>HLOOKUP($B$16,ТехІнфо!$A$1:$P$53,8,0)</f>
        <v>#N/A</v>
      </c>
      <c r="E15" s="74" t="s">
        <v>92</v>
      </c>
      <c r="F15" s="265" t="s">
        <v>13</v>
      </c>
      <c r="G15" s="268">
        <v>1</v>
      </c>
      <c r="H15" s="256">
        <f>VLOOKUP($K$1,Зведено!$C$15:$AC$39,16,0)/$K$2*$K$3</f>
        <v>0</v>
      </c>
      <c r="I15" s="256">
        <f>H15*G15</f>
        <v>0</v>
      </c>
      <c r="J15" s="259" t="s">
        <v>60</v>
      </c>
    </row>
    <row r="16" spans="1:12" s="1" customFormat="1" ht="14.25" customHeight="1">
      <c r="A16" s="263"/>
      <c r="B16" s="71" t="str">
        <f>IFERROR(VLOOKUP($K$1,Зведено!$C$15:$AC$40,11,0),"")</f>
        <v/>
      </c>
      <c r="C16" s="71" t="s">
        <v>74</v>
      </c>
      <c r="D16" s="75" t="e">
        <f>HLOOKUP($B$16,ТехІнфо!$A$1:$P$53,9,0)</f>
        <v>#N/A</v>
      </c>
      <c r="E16" s="76" t="s">
        <v>92</v>
      </c>
      <c r="F16" s="266"/>
      <c r="G16" s="269"/>
      <c r="H16" s="257"/>
      <c r="I16" s="257"/>
      <c r="J16" s="260"/>
    </row>
    <row r="17" spans="1:11" s="1" customFormat="1" ht="16.5" customHeight="1">
      <c r="A17" s="263"/>
      <c r="B17" s="86" t="s">
        <v>106</v>
      </c>
      <c r="C17" s="71" t="s">
        <v>75</v>
      </c>
      <c r="D17" s="75" t="e">
        <f>HLOOKUP($B$16,ТехІнфо!$A$1:$P$53,12,0)</f>
        <v>#N/A</v>
      </c>
      <c r="E17" s="76" t="s">
        <v>93</v>
      </c>
      <c r="F17" s="266"/>
      <c r="G17" s="269"/>
      <c r="H17" s="257"/>
      <c r="I17" s="257"/>
      <c r="J17" s="260"/>
    </row>
    <row r="18" spans="1:11" s="1" customFormat="1" ht="16.5" customHeight="1">
      <c r="A18" s="263"/>
      <c r="B18" s="271"/>
      <c r="C18" s="71" t="s">
        <v>76</v>
      </c>
      <c r="D18" s="75" t="e">
        <f>HLOOKUP($B$16,ТехІнфо!$A$1:$P$53,15,0)</f>
        <v>#N/A</v>
      </c>
      <c r="E18" s="76"/>
      <c r="F18" s="266"/>
      <c r="G18" s="269"/>
      <c r="H18" s="257"/>
      <c r="I18" s="257"/>
      <c r="J18" s="260"/>
    </row>
    <row r="19" spans="1:11" s="1" customFormat="1" ht="16.5" customHeight="1">
      <c r="A19" s="263"/>
      <c r="B19" s="271"/>
      <c r="C19" s="71" t="s">
        <v>77</v>
      </c>
      <c r="D19" s="75" t="s">
        <v>94</v>
      </c>
      <c r="E19" s="76" t="s">
        <v>92</v>
      </c>
      <c r="F19" s="266"/>
      <c r="G19" s="269"/>
      <c r="H19" s="257"/>
      <c r="I19" s="257"/>
      <c r="J19" s="260"/>
    </row>
    <row r="20" spans="1:11" s="1" customFormat="1" ht="16.5" customHeight="1">
      <c r="A20" s="263"/>
      <c r="B20" s="271"/>
      <c r="C20" s="71" t="s">
        <v>78</v>
      </c>
      <c r="D20" s="75" t="s">
        <v>95</v>
      </c>
      <c r="E20" s="76" t="s">
        <v>96</v>
      </c>
      <c r="F20" s="266"/>
      <c r="G20" s="269"/>
      <c r="H20" s="257"/>
      <c r="I20" s="257"/>
      <c r="J20" s="260"/>
    </row>
    <row r="21" spans="1:11" s="1" customFormat="1" ht="16.5" customHeight="1">
      <c r="A21" s="263"/>
      <c r="B21" s="271"/>
      <c r="C21" s="71" t="s">
        <v>79</v>
      </c>
      <c r="D21" s="77"/>
      <c r="E21" s="78"/>
      <c r="F21" s="266"/>
      <c r="G21" s="269"/>
      <c r="H21" s="257"/>
      <c r="I21" s="257"/>
      <c r="J21" s="260"/>
    </row>
    <row r="22" spans="1:11" s="1" customFormat="1" ht="21" customHeight="1">
      <c r="A22" s="263"/>
      <c r="B22" s="271"/>
      <c r="C22" s="71" t="s">
        <v>80</v>
      </c>
      <c r="D22" s="75"/>
      <c r="E22" s="76" t="s">
        <v>98</v>
      </c>
      <c r="F22" s="266"/>
      <c r="G22" s="269"/>
      <c r="H22" s="257"/>
      <c r="I22" s="257"/>
      <c r="J22" s="260"/>
    </row>
    <row r="23" spans="1:11" s="1" customFormat="1" ht="16.5" customHeight="1">
      <c r="A23" s="263"/>
      <c r="B23" s="271"/>
      <c r="C23" s="71" t="s">
        <v>81</v>
      </c>
      <c r="D23" s="75"/>
      <c r="E23" s="76" t="s">
        <v>97</v>
      </c>
      <c r="F23" s="266"/>
      <c r="G23" s="269"/>
      <c r="H23" s="257"/>
      <c r="I23" s="257"/>
      <c r="J23" s="260"/>
    </row>
    <row r="24" spans="1:11" s="1" customFormat="1" ht="16.5" customHeight="1">
      <c r="A24" s="263"/>
      <c r="B24" s="271"/>
      <c r="C24" s="71" t="s">
        <v>82</v>
      </c>
      <c r="D24" s="75" t="s">
        <v>107</v>
      </c>
      <c r="E24" s="76"/>
      <c r="F24" s="266"/>
      <c r="G24" s="269"/>
      <c r="H24" s="257"/>
      <c r="I24" s="257"/>
      <c r="J24" s="260"/>
    </row>
    <row r="25" spans="1:11" s="1" customFormat="1" ht="30" customHeight="1">
      <c r="A25" s="264"/>
      <c r="B25" s="272"/>
      <c r="C25" s="273" t="s">
        <v>289</v>
      </c>
      <c r="D25" s="274"/>
      <c r="E25" s="275"/>
      <c r="F25" s="267"/>
      <c r="G25" s="270"/>
      <c r="H25" s="258"/>
      <c r="I25" s="258"/>
      <c r="J25" s="261"/>
    </row>
    <row r="26" spans="1:11" s="1" customFormat="1" ht="67.5" customHeight="1">
      <c r="A26" s="60">
        <v>4</v>
      </c>
      <c r="B26" s="173" t="s">
        <v>51</v>
      </c>
      <c r="C26" s="285" t="s">
        <v>277</v>
      </c>
      <c r="D26" s="286"/>
      <c r="E26" s="287"/>
      <c r="F26" s="145" t="s">
        <v>278</v>
      </c>
      <c r="G26" s="63">
        <v>1</v>
      </c>
      <c r="H26" s="64">
        <f>VLOOKUP($K$1,Зведено!$C$15:$AC$39,17,0)</f>
        <v>0</v>
      </c>
      <c r="I26" s="64">
        <f t="shared" ref="I26:I36" si="1">H26*G26</f>
        <v>0</v>
      </c>
      <c r="J26" s="65" t="s">
        <v>48</v>
      </c>
    </row>
    <row r="27" spans="1:11" s="1" customFormat="1" ht="17.25" customHeight="1">
      <c r="A27" s="60">
        <v>5</v>
      </c>
      <c r="B27" s="132" t="s">
        <v>12</v>
      </c>
      <c r="C27" s="288"/>
      <c r="D27" s="289"/>
      <c r="E27" s="290"/>
      <c r="F27" s="62" t="s">
        <v>13</v>
      </c>
      <c r="G27" s="63">
        <v>1</v>
      </c>
      <c r="H27" s="64">
        <f>VLOOKUP($K$1,Зведено!$C$15:$AC$39,18,0)</f>
        <v>0</v>
      </c>
      <c r="I27" s="64">
        <f t="shared" si="1"/>
        <v>0</v>
      </c>
      <c r="J27" s="65" t="s">
        <v>48</v>
      </c>
    </row>
    <row r="28" spans="1:11" s="1" customFormat="1" ht="26.25" customHeight="1">
      <c r="A28" s="60">
        <v>6</v>
      </c>
      <c r="B28" s="132" t="s">
        <v>122</v>
      </c>
      <c r="C28" s="291" t="s">
        <v>370</v>
      </c>
      <c r="D28" s="292"/>
      <c r="E28" s="293"/>
      <c r="F28" s="62" t="s">
        <v>5</v>
      </c>
      <c r="G28" s="63">
        <v>20</v>
      </c>
      <c r="H28" s="64">
        <f>VLOOKUP($K$1,Зведено!$C$15:$AC$39,19,0)/20</f>
        <v>0</v>
      </c>
      <c r="I28" s="64">
        <f t="shared" si="1"/>
        <v>0</v>
      </c>
      <c r="J28" s="65" t="s">
        <v>48</v>
      </c>
    </row>
    <row r="29" spans="1:11" s="1" customFormat="1" ht="44.25" customHeight="1">
      <c r="A29" s="60">
        <v>7</v>
      </c>
      <c r="B29" s="132" t="s">
        <v>47</v>
      </c>
      <c r="C29" s="291" t="s">
        <v>370</v>
      </c>
      <c r="D29" s="292"/>
      <c r="E29" s="293"/>
      <c r="F29" s="62" t="s">
        <v>10</v>
      </c>
      <c r="G29" s="79">
        <v>1</v>
      </c>
      <c r="H29" s="64">
        <f>VLOOKUP($K$1,Зведено!$C$15:$AC$39,20,0)</f>
        <v>0</v>
      </c>
      <c r="I29" s="64">
        <f t="shared" si="1"/>
        <v>0</v>
      </c>
      <c r="J29" s="65" t="s">
        <v>48</v>
      </c>
      <c r="K29" s="5"/>
    </row>
    <row r="30" spans="1:11" s="1" customFormat="1" ht="73.5" customHeight="1">
      <c r="A30" s="60">
        <v>8</v>
      </c>
      <c r="B30" s="132" t="s">
        <v>18</v>
      </c>
      <c r="C30" s="291" t="s">
        <v>370</v>
      </c>
      <c r="D30" s="292"/>
      <c r="E30" s="293"/>
      <c r="F30" s="62" t="s">
        <v>3</v>
      </c>
      <c r="G30" s="63">
        <v>1</v>
      </c>
      <c r="H30" s="64">
        <f>VLOOKUP($K$1,Зведено!$C$15:$AC$39,21,0)</f>
        <v>0</v>
      </c>
      <c r="I30" s="64">
        <f t="shared" si="1"/>
        <v>0</v>
      </c>
      <c r="J30" s="65" t="s">
        <v>48</v>
      </c>
    </row>
    <row r="31" spans="1:11" s="1" customFormat="1" ht="41.25" customHeight="1">
      <c r="A31" s="60">
        <v>9</v>
      </c>
      <c r="B31" s="132" t="s">
        <v>53</v>
      </c>
      <c r="C31" s="291" t="s">
        <v>370</v>
      </c>
      <c r="D31" s="292"/>
      <c r="E31" s="293"/>
      <c r="F31" s="62" t="s">
        <v>3</v>
      </c>
      <c r="G31" s="63">
        <v>1</v>
      </c>
      <c r="H31" s="64">
        <f>VLOOKUP($K$1,Зведено!$C$15:$AC$39,22,0)</f>
        <v>0</v>
      </c>
      <c r="I31" s="64">
        <f t="shared" si="1"/>
        <v>0</v>
      </c>
      <c r="J31" s="65" t="s">
        <v>48</v>
      </c>
    </row>
    <row r="32" spans="1:11" s="1" customFormat="1" ht="16.5" customHeight="1">
      <c r="A32" s="60">
        <v>10</v>
      </c>
      <c r="B32" s="132" t="s">
        <v>2</v>
      </c>
      <c r="C32" s="288"/>
      <c r="D32" s="289"/>
      <c r="E32" s="290"/>
      <c r="F32" s="62" t="s">
        <v>15</v>
      </c>
      <c r="G32" s="63">
        <v>1</v>
      </c>
      <c r="H32" s="64">
        <f>VLOOKUP($K$1,Зведено!$C$15:$AC$39,23,0)</f>
        <v>0</v>
      </c>
      <c r="I32" s="64">
        <f t="shared" si="1"/>
        <v>0</v>
      </c>
      <c r="J32" s="65" t="s">
        <v>48</v>
      </c>
    </row>
    <row r="33" spans="1:18" s="1" customFormat="1" ht="74.25" customHeight="1">
      <c r="A33" s="60">
        <v>11</v>
      </c>
      <c r="B33" s="132" t="s">
        <v>14</v>
      </c>
      <c r="C33" s="291" t="s">
        <v>44</v>
      </c>
      <c r="D33" s="292"/>
      <c r="E33" s="293"/>
      <c r="F33" s="62" t="s">
        <v>15</v>
      </c>
      <c r="G33" s="63">
        <v>1</v>
      </c>
      <c r="H33" s="64">
        <f>VLOOKUP($K$1,Зведено!$C$15:$AC$39,24,0)</f>
        <v>0</v>
      </c>
      <c r="I33" s="64">
        <f t="shared" si="1"/>
        <v>0</v>
      </c>
      <c r="J33" s="65" t="s">
        <v>48</v>
      </c>
    </row>
    <row r="34" spans="1:18" s="1" customFormat="1" ht="25.5" customHeight="1">
      <c r="A34" s="60">
        <v>12</v>
      </c>
      <c r="B34" s="132" t="s">
        <v>4</v>
      </c>
      <c r="C34" s="288"/>
      <c r="D34" s="289"/>
      <c r="E34" s="290"/>
      <c r="F34" s="62" t="s">
        <v>15</v>
      </c>
      <c r="G34" s="63">
        <v>1</v>
      </c>
      <c r="H34" s="64">
        <f>VLOOKUP($K$1,Зведено!$C$15:$AC$39,25,0)</f>
        <v>0</v>
      </c>
      <c r="I34" s="64">
        <f t="shared" si="1"/>
        <v>0</v>
      </c>
      <c r="J34" s="65" t="s">
        <v>48</v>
      </c>
    </row>
    <row r="35" spans="1:18" s="1" customFormat="1" ht="44.25" customHeight="1">
      <c r="A35" s="60">
        <v>13</v>
      </c>
      <c r="B35" s="132" t="s">
        <v>11</v>
      </c>
      <c r="C35" s="291" t="s">
        <v>55</v>
      </c>
      <c r="D35" s="292"/>
      <c r="E35" s="293"/>
      <c r="F35" s="62" t="s">
        <v>3</v>
      </c>
      <c r="G35" s="63">
        <v>1</v>
      </c>
      <c r="H35" s="64">
        <f>VLOOKUP($K$1,Зведено!$C$15:$AC$39,26,0)</f>
        <v>0</v>
      </c>
      <c r="I35" s="64">
        <f t="shared" si="1"/>
        <v>0</v>
      </c>
      <c r="J35" s="65" t="s">
        <v>48</v>
      </c>
    </row>
    <row r="36" spans="1:18" s="1" customFormat="1" ht="44.25" customHeight="1">
      <c r="A36" s="60">
        <v>14</v>
      </c>
      <c r="B36" s="80" t="s">
        <v>9</v>
      </c>
      <c r="C36" s="288"/>
      <c r="D36" s="289"/>
      <c r="E36" s="290"/>
      <c r="F36" s="62" t="s">
        <v>15</v>
      </c>
      <c r="G36" s="63">
        <v>1</v>
      </c>
      <c r="H36" s="64">
        <f>VLOOKUP($K$1,Зведено!$C$15:$AC$39,27,0)</f>
        <v>0</v>
      </c>
      <c r="I36" s="64">
        <f t="shared" si="1"/>
        <v>0</v>
      </c>
      <c r="J36" s="65" t="s">
        <v>48</v>
      </c>
    </row>
    <row r="37" spans="1:18" s="1" customFormat="1" ht="39.75" customHeight="1" thickBot="1">
      <c r="A37" s="60">
        <v>15</v>
      </c>
      <c r="B37" s="81" t="s">
        <v>49</v>
      </c>
      <c r="C37" s="282" t="s">
        <v>50</v>
      </c>
      <c r="D37" s="283"/>
      <c r="E37" s="284"/>
      <c r="F37" s="82" t="s">
        <v>15</v>
      </c>
      <c r="G37" s="83">
        <v>1</v>
      </c>
      <c r="H37" s="84">
        <f>VLOOKUP($K$1,Зведено!$C$15:$AC$39,27,0)</f>
        <v>0</v>
      </c>
      <c r="I37" s="84">
        <f>H37*G37</f>
        <v>0</v>
      </c>
      <c r="J37" s="85" t="s">
        <v>48</v>
      </c>
    </row>
    <row r="38" spans="1:18" ht="15.75">
      <c r="A38" s="29"/>
      <c r="B38" s="37" t="s">
        <v>54</v>
      </c>
      <c r="C38" s="30"/>
      <c r="D38" s="30"/>
      <c r="E38" s="30"/>
      <c r="F38" s="31"/>
      <c r="G38" s="30"/>
      <c r="H38" s="30"/>
      <c r="I38" s="30"/>
      <c r="J38" s="30"/>
      <c r="K38" s="30"/>
      <c r="L38" s="32"/>
      <c r="M38" s="32"/>
      <c r="N38" s="32"/>
      <c r="O38" s="32"/>
      <c r="P38" s="6"/>
      <c r="Q38" s="6"/>
      <c r="R38" s="6"/>
    </row>
    <row r="39" spans="1:18" ht="28.5" customHeight="1">
      <c r="A39" s="29"/>
      <c r="B39" s="33" t="s">
        <v>20</v>
      </c>
      <c r="C39" s="33"/>
      <c r="D39" s="33"/>
      <c r="E39" s="33"/>
      <c r="F39" s="33"/>
      <c r="G39" s="33"/>
      <c r="H39" s="33"/>
      <c r="I39" s="36">
        <f>SUM(I6:I37)</f>
        <v>0</v>
      </c>
      <c r="J39" s="38" t="s">
        <v>46</v>
      </c>
      <c r="K39" s="34"/>
      <c r="L39" s="35"/>
      <c r="M39" s="35"/>
      <c r="N39" s="35"/>
      <c r="O39" s="35"/>
      <c r="P39" s="6"/>
      <c r="Q39" s="6"/>
      <c r="R39" s="6"/>
    </row>
    <row r="40" spans="1:18" ht="18">
      <c r="A40" s="6"/>
      <c r="B40" s="15" t="s">
        <v>21</v>
      </c>
      <c r="C40" s="16"/>
      <c r="D40" s="16"/>
      <c r="E40" s="16"/>
      <c r="F40" s="9"/>
      <c r="G40" s="9"/>
      <c r="H40" s="9"/>
      <c r="I40" s="9"/>
      <c r="J40" s="9"/>
      <c r="K40" s="7"/>
      <c r="L40" s="6"/>
      <c r="M40" s="6"/>
      <c r="N40" s="6"/>
      <c r="O40" s="6"/>
      <c r="P40" s="6"/>
      <c r="Q40" s="6"/>
      <c r="R40" s="6"/>
    </row>
    <row r="41" spans="1:18" ht="26.25" customHeight="1">
      <c r="A41" s="197">
        <v>1</v>
      </c>
      <c r="B41" s="300" t="s">
        <v>22</v>
      </c>
      <c r="C41" s="300"/>
      <c r="D41" s="300"/>
      <c r="E41" s="300"/>
      <c r="F41" s="300"/>
      <c r="G41" s="300"/>
      <c r="H41" s="198">
        <f>Зведено!H38</f>
        <v>0</v>
      </c>
      <c r="I41" s="9" t="s">
        <v>23</v>
      </c>
      <c r="J41" s="9"/>
      <c r="K41" s="7"/>
      <c r="L41" s="22"/>
      <c r="M41" s="22"/>
      <c r="N41" s="22"/>
      <c r="O41" s="22"/>
      <c r="P41" s="6"/>
      <c r="Q41" s="6"/>
      <c r="R41" s="6"/>
    </row>
    <row r="42" spans="1:18" ht="30.75" customHeight="1">
      <c r="A42" s="197">
        <f>1+A41</f>
        <v>2</v>
      </c>
      <c r="B42" s="300" t="s">
        <v>24</v>
      </c>
      <c r="C42" s="300"/>
      <c r="D42" s="300"/>
      <c r="E42" s="300"/>
      <c r="F42" s="300"/>
      <c r="G42" s="300"/>
      <c r="H42" s="198">
        <f>Зведено!H39</f>
        <v>0</v>
      </c>
      <c r="I42" s="9" t="s">
        <v>25</v>
      </c>
      <c r="J42" s="9"/>
      <c r="K42" s="7"/>
      <c r="L42" s="6"/>
      <c r="M42" s="6"/>
      <c r="N42" s="6"/>
      <c r="O42" s="6"/>
      <c r="P42" s="6"/>
      <c r="Q42" s="6"/>
      <c r="R42" s="6"/>
    </row>
    <row r="43" spans="1:18" ht="31.5" customHeight="1">
      <c r="A43" s="197">
        <f t="shared" ref="A43:A54" si="2">1+A42</f>
        <v>3</v>
      </c>
      <c r="B43" s="300" t="s">
        <v>26</v>
      </c>
      <c r="C43" s="300"/>
      <c r="D43" s="300"/>
      <c r="E43" s="300"/>
      <c r="F43" s="300"/>
      <c r="G43" s="300"/>
      <c r="H43" s="198">
        <f>Зведено!H40</f>
        <v>0</v>
      </c>
      <c r="I43" s="9" t="s">
        <v>27</v>
      </c>
      <c r="J43" s="9"/>
      <c r="K43" s="7"/>
      <c r="L43" s="6"/>
      <c r="M43" s="6"/>
      <c r="N43" s="6"/>
      <c r="O43" s="6"/>
      <c r="P43" s="6"/>
      <c r="Q43" s="6"/>
    </row>
    <row r="44" spans="1:18" ht="16.5" customHeight="1">
      <c r="A44" s="197">
        <f t="shared" si="2"/>
        <v>4</v>
      </c>
      <c r="B44" s="300" t="s">
        <v>42</v>
      </c>
      <c r="C44" s="300"/>
      <c r="D44" s="300"/>
      <c r="E44" s="300"/>
      <c r="F44" s="300"/>
      <c r="G44" s="301"/>
      <c r="H44" s="198">
        <f>Зведено!H41</f>
        <v>0</v>
      </c>
      <c r="I44" s="11" t="s">
        <v>248</v>
      </c>
      <c r="J44" s="11"/>
      <c r="K44" s="7"/>
      <c r="L44" s="6"/>
      <c r="M44" s="6"/>
      <c r="N44" s="6"/>
      <c r="O44" s="6"/>
      <c r="P44" s="6"/>
      <c r="Q44" s="6"/>
    </row>
    <row r="45" spans="1:18" ht="22.5" customHeight="1">
      <c r="A45" s="197">
        <f t="shared" si="2"/>
        <v>5</v>
      </c>
      <c r="B45" s="294" t="s">
        <v>28</v>
      </c>
      <c r="C45" s="294"/>
      <c r="D45" s="294"/>
      <c r="E45" s="294"/>
      <c r="F45" s="294"/>
      <c r="G45" s="295"/>
      <c r="H45" s="198">
        <f>Зведено!H42</f>
        <v>0</v>
      </c>
      <c r="I45" s="11" t="s">
        <v>29</v>
      </c>
      <c r="J45" s="11"/>
      <c r="K45" s="7"/>
      <c r="L45" s="6"/>
      <c r="M45" s="6"/>
      <c r="N45" s="6"/>
      <c r="O45" s="6"/>
      <c r="P45" s="6"/>
      <c r="Q45" s="6"/>
    </row>
    <row r="46" spans="1:18" ht="21.75" customHeight="1">
      <c r="A46" s="197">
        <f t="shared" si="2"/>
        <v>6</v>
      </c>
      <c r="B46" s="300" t="s">
        <v>43</v>
      </c>
      <c r="C46" s="300"/>
      <c r="D46" s="300"/>
      <c r="E46" s="300"/>
      <c r="F46" s="300"/>
      <c r="G46" s="301"/>
      <c r="H46" s="198">
        <f>Зведено!H43</f>
        <v>0</v>
      </c>
      <c r="I46" s="11" t="s">
        <v>293</v>
      </c>
      <c r="J46" s="11"/>
      <c r="K46" s="7"/>
      <c r="L46" s="6"/>
      <c r="M46" s="6"/>
      <c r="N46" s="6"/>
      <c r="O46" s="6"/>
      <c r="P46" s="6"/>
      <c r="Q46" s="6"/>
    </row>
    <row r="47" spans="1:18" ht="18" customHeight="1">
      <c r="A47" s="197">
        <f t="shared" si="2"/>
        <v>7</v>
      </c>
      <c r="B47" s="294" t="s">
        <v>30</v>
      </c>
      <c r="C47" s="294"/>
      <c r="D47" s="294"/>
      <c r="E47" s="294"/>
      <c r="F47" s="294"/>
      <c r="G47" s="295"/>
      <c r="H47" s="198">
        <f>Зведено!H44</f>
        <v>0</v>
      </c>
      <c r="I47" s="11" t="s">
        <v>31</v>
      </c>
      <c r="J47" s="11"/>
      <c r="K47" s="7"/>
      <c r="L47" s="6"/>
      <c r="M47" s="6"/>
      <c r="N47" s="6"/>
      <c r="O47" s="6"/>
    </row>
    <row r="48" spans="1:18" ht="15">
      <c r="A48" s="197">
        <f t="shared" si="2"/>
        <v>8</v>
      </c>
      <c r="B48" s="296" t="s">
        <v>32</v>
      </c>
      <c r="C48" s="296"/>
      <c r="D48" s="296"/>
      <c r="E48" s="296"/>
      <c r="F48" s="296"/>
      <c r="G48" s="297"/>
      <c r="H48" s="198">
        <f>Зведено!H45</f>
        <v>0</v>
      </c>
      <c r="I48" s="12" t="s">
        <v>33</v>
      </c>
      <c r="J48" s="12"/>
      <c r="K48" s="7"/>
      <c r="L48" s="6"/>
      <c r="M48" s="6"/>
      <c r="N48" s="6"/>
      <c r="O48" s="6"/>
    </row>
    <row r="49" spans="1:15" ht="15">
      <c r="A49" s="197">
        <f t="shared" si="2"/>
        <v>9</v>
      </c>
      <c r="B49" s="296" t="s">
        <v>34</v>
      </c>
      <c r="C49" s="296"/>
      <c r="D49" s="296"/>
      <c r="E49" s="296"/>
      <c r="F49" s="296"/>
      <c r="G49" s="297"/>
      <c r="H49" s="198">
        <f>Зведено!H46</f>
        <v>0</v>
      </c>
      <c r="I49" s="12" t="s">
        <v>35</v>
      </c>
      <c r="J49" s="12"/>
      <c r="K49" s="7"/>
      <c r="L49" s="6"/>
      <c r="M49" s="6"/>
      <c r="N49" s="6"/>
      <c r="O49" s="6"/>
    </row>
    <row r="50" spans="1:15" ht="15">
      <c r="A50" s="197">
        <f t="shared" si="2"/>
        <v>10</v>
      </c>
      <c r="B50" s="298" t="s">
        <v>36</v>
      </c>
      <c r="C50" s="298"/>
      <c r="D50" s="298"/>
      <c r="E50" s="298"/>
      <c r="F50" s="298"/>
      <c r="G50" s="299"/>
      <c r="H50" s="198">
        <f>Зведено!H47</f>
        <v>0</v>
      </c>
      <c r="I50" s="12" t="s">
        <v>37</v>
      </c>
      <c r="J50" s="12"/>
      <c r="K50" s="7"/>
      <c r="L50" s="6"/>
      <c r="M50" s="6"/>
      <c r="N50" s="6"/>
      <c r="O50" s="6"/>
    </row>
    <row r="51" spans="1:15" ht="18">
      <c r="A51" s="197">
        <f t="shared" si="2"/>
        <v>11</v>
      </c>
      <c r="B51" s="13" t="s">
        <v>38</v>
      </c>
      <c r="C51" s="20" t="s">
        <v>39</v>
      </c>
      <c r="D51" s="20"/>
      <c r="E51" s="20"/>
      <c r="F51" s="20"/>
      <c r="G51" s="19"/>
      <c r="H51" s="18"/>
      <c r="I51" s="9"/>
      <c r="J51" s="9"/>
      <c r="K51" s="7"/>
      <c r="L51" s="6"/>
      <c r="M51" s="6"/>
      <c r="N51" s="6"/>
      <c r="O51" s="6"/>
    </row>
    <row r="52" spans="1:15" ht="21.75" customHeight="1">
      <c r="A52" s="197">
        <f t="shared" si="2"/>
        <v>12</v>
      </c>
      <c r="B52" s="12" t="s">
        <v>40</v>
      </c>
      <c r="C52" s="7"/>
      <c r="D52" s="7"/>
      <c r="E52" s="7"/>
      <c r="F52" s="7"/>
      <c r="G52" s="7"/>
      <c r="H52" s="7"/>
      <c r="I52" s="7"/>
      <c r="J52" s="7"/>
      <c r="K52" s="7"/>
      <c r="L52" s="6"/>
      <c r="M52" s="6"/>
      <c r="N52" s="6"/>
      <c r="O52" s="6"/>
    </row>
    <row r="53" spans="1:15" ht="15">
      <c r="A53" s="197">
        <f t="shared" si="2"/>
        <v>13</v>
      </c>
      <c r="B53" s="17" t="s">
        <v>52</v>
      </c>
      <c r="C53" s="8"/>
      <c r="D53" s="8"/>
      <c r="E53" s="8"/>
      <c r="F53" s="8"/>
      <c r="G53" s="8"/>
      <c r="H53" s="6"/>
      <c r="I53" s="8"/>
      <c r="J53" s="8"/>
      <c r="K53" s="8"/>
      <c r="L53" s="6"/>
      <c r="M53" s="6"/>
      <c r="N53" s="6"/>
      <c r="O53" s="6"/>
    </row>
    <row r="54" spans="1:15" ht="15">
      <c r="A54" s="197">
        <f t="shared" si="2"/>
        <v>14</v>
      </c>
      <c r="B54" s="14" t="s">
        <v>41</v>
      </c>
      <c r="C54" s="7"/>
      <c r="D54" s="7"/>
      <c r="E54" s="7"/>
      <c r="F54" s="7"/>
      <c r="G54" s="7"/>
      <c r="H54" s="7"/>
      <c r="I54" s="7"/>
      <c r="J54" s="7"/>
      <c r="K54" s="7"/>
    </row>
  </sheetData>
  <protectedRanges>
    <protectedRange sqref="A6:E6 A15:E25 A7:A14 A27:E27 A26 C26:E26 A32:E37 A29:A30 A31:B31 A28:B28" name="Діапазон2"/>
    <protectedRange sqref="H7:I37 I6" name="Діапазон1"/>
    <protectedRange sqref="C7:E14" name="Діапазон1_2_1"/>
    <protectedRange sqref="B7:B14" name="Діапазон2_1_1"/>
    <protectedRange sqref="B26" name="Діапазон1_1"/>
    <protectedRange sqref="B29:B30" name="Діапазон1_2"/>
    <protectedRange sqref="C28:E31" name="Діапазон1_2_2"/>
  </protectedRanges>
  <mergeCells count="42">
    <mergeCell ref="B47:G47"/>
    <mergeCell ref="B48:G48"/>
    <mergeCell ref="B49:G49"/>
    <mergeCell ref="B50:G50"/>
    <mergeCell ref="B41:G41"/>
    <mergeCell ref="B42:G42"/>
    <mergeCell ref="B43:G43"/>
    <mergeCell ref="B44:G44"/>
    <mergeCell ref="B45:G45"/>
    <mergeCell ref="B46:G46"/>
    <mergeCell ref="C37:E37"/>
    <mergeCell ref="C26:E26"/>
    <mergeCell ref="C27:E27"/>
    <mergeCell ref="C28:E28"/>
    <mergeCell ref="C29:E29"/>
    <mergeCell ref="C30:E30"/>
    <mergeCell ref="C31:E31"/>
    <mergeCell ref="C32:E32"/>
    <mergeCell ref="C33:E33"/>
    <mergeCell ref="C34:E34"/>
    <mergeCell ref="C35:E35"/>
    <mergeCell ref="C36:E36"/>
    <mergeCell ref="I7:I14"/>
    <mergeCell ref="J7:J14"/>
    <mergeCell ref="A15:A25"/>
    <mergeCell ref="F15:F25"/>
    <mergeCell ref="G15:G25"/>
    <mergeCell ref="H15:H25"/>
    <mergeCell ref="I15:I25"/>
    <mergeCell ref="J15:J25"/>
    <mergeCell ref="B18:B25"/>
    <mergeCell ref="C25:E25"/>
    <mergeCell ref="A7:A14"/>
    <mergeCell ref="B7:B14"/>
    <mergeCell ref="F7:F14"/>
    <mergeCell ref="G7:G14"/>
    <mergeCell ref="H7:H14"/>
    <mergeCell ref="B1:I1"/>
    <mergeCell ref="B2:I2"/>
    <mergeCell ref="C3:E3"/>
    <mergeCell ref="C4:E4"/>
    <mergeCell ref="C6:E6"/>
  </mergeCells>
  <hyperlinks>
    <hyperlink ref="C51" r:id="rId1" xr:uid="{00000000-0004-0000-0400-000000000000}"/>
  </hyperlinks>
  <pageMargins left="0.25" right="0.25" top="0.75" bottom="0.75" header="0.3" footer="0.3"/>
  <pageSetup orientation="portrait" r:id="rId2"/>
  <customProperties>
    <customPr name="_pios_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Аркуш1">
    <tabColor rgb="FF00B0F0"/>
  </sheetPr>
  <dimension ref="A1:L50"/>
  <sheetViews>
    <sheetView showGridLines="0" zoomScale="70" zoomScaleNormal="70" workbookViewId="0">
      <pane xSplit="8" ySplit="4" topLeftCell="I8" activePane="bottomRight" state="frozen"/>
      <selection activeCell="I26" sqref="I26"/>
      <selection pane="topRight" activeCell="I26" sqref="I26"/>
      <selection pane="bottomLeft" activeCell="I26" sqref="I26"/>
      <selection pane="bottomRight" activeCell="I26" sqref="I26"/>
    </sheetView>
  </sheetViews>
  <sheetFormatPr defaultRowHeight="40.5" customHeight="1"/>
  <cols>
    <col min="1" max="1" width="4.5" style="101" customWidth="1"/>
    <col min="2" max="2" width="5.83203125" style="101" customWidth="1"/>
    <col min="3" max="3" width="13.5" style="101" customWidth="1"/>
    <col min="4" max="4" width="11.1640625" style="101" customWidth="1"/>
    <col min="5" max="5" width="91.83203125" style="101" customWidth="1"/>
    <col min="6" max="6" width="16" style="101" customWidth="1"/>
    <col min="7" max="7" width="18" style="101" customWidth="1"/>
    <col min="8" max="8" width="46.1640625" style="101" customWidth="1"/>
    <col min="9" max="9" width="22.83203125" style="101" customWidth="1"/>
    <col min="10" max="11" width="9.33203125" style="101"/>
    <col min="12" max="12" width="29" style="101" customWidth="1"/>
    <col min="13" max="13" width="9.33203125" style="101"/>
    <col min="14" max="14" width="23.6640625" style="101" customWidth="1"/>
    <col min="15" max="16384" width="9.33203125" style="101"/>
  </cols>
  <sheetData>
    <row r="1" spans="2:9" customFormat="1" ht="21" customHeight="1">
      <c r="G1" s="39"/>
      <c r="H1" s="39"/>
    </row>
    <row r="2" spans="2:9" customFormat="1" ht="23.25" customHeight="1">
      <c r="C2" s="302" t="s">
        <v>58</v>
      </c>
      <c r="D2" s="302"/>
      <c r="E2" s="302"/>
      <c r="F2" s="302"/>
      <c r="G2" s="302"/>
      <c r="H2" s="39"/>
    </row>
    <row r="3" spans="2:9" customFormat="1" ht="26.25" customHeight="1" thickBot="1">
      <c r="C3" s="303" t="s">
        <v>292</v>
      </c>
      <c r="D3" s="303"/>
      <c r="E3" s="303"/>
      <c r="F3" s="303"/>
      <c r="G3" s="303"/>
      <c r="H3" s="303"/>
    </row>
    <row r="4" spans="2:9" customFormat="1" ht="45" customHeight="1">
      <c r="B4" s="116" t="s">
        <v>0</v>
      </c>
      <c r="C4" s="117" t="s">
        <v>255</v>
      </c>
      <c r="D4" s="117" t="s">
        <v>253</v>
      </c>
      <c r="E4" s="117" t="s">
        <v>254</v>
      </c>
      <c r="F4" s="118" t="s">
        <v>177</v>
      </c>
      <c r="G4" s="119" t="s">
        <v>17</v>
      </c>
      <c r="H4" s="120" t="s">
        <v>56</v>
      </c>
    </row>
    <row r="5" spans="2:9" customFormat="1" ht="22.5" customHeight="1">
      <c r="B5" s="109">
        <v>1</v>
      </c>
      <c r="C5" s="105">
        <v>40111700</v>
      </c>
      <c r="D5" s="105" t="s">
        <v>119</v>
      </c>
      <c r="E5" s="106" t="s">
        <v>127</v>
      </c>
      <c r="F5" s="108">
        <v>20</v>
      </c>
      <c r="G5" s="142" t="e">
        <f>VLOOKUP($C5,Зведено!$C$16:$J$35,8,0)</f>
        <v>#N/A</v>
      </c>
      <c r="H5" s="110"/>
    </row>
    <row r="6" spans="2:9" customFormat="1" ht="20.25" customHeight="1">
      <c r="B6" s="109">
        <v>2</v>
      </c>
      <c r="C6" s="105">
        <v>40113100</v>
      </c>
      <c r="D6" s="105" t="s">
        <v>128</v>
      </c>
      <c r="E6" s="106" t="s">
        <v>129</v>
      </c>
      <c r="F6" s="108">
        <v>25</v>
      </c>
      <c r="G6" s="142" t="e">
        <f>VLOOKUP($C6,Зведено!$C$16:$J$35,8,0)</f>
        <v>#N/A</v>
      </c>
      <c r="H6" s="110"/>
    </row>
    <row r="7" spans="2:9" customFormat="1" ht="18.75" customHeight="1">
      <c r="B7" s="109">
        <v>3</v>
      </c>
      <c r="C7" s="105">
        <v>40114600</v>
      </c>
      <c r="D7" s="105" t="s">
        <v>130</v>
      </c>
      <c r="E7" s="106" t="s">
        <v>131</v>
      </c>
      <c r="F7" s="108">
        <v>15</v>
      </c>
      <c r="G7" s="142" t="e">
        <f>VLOOKUP($C7,Зведено!$C$16:$J$35,8,0)</f>
        <v>#N/A</v>
      </c>
      <c r="H7" s="110"/>
    </row>
    <row r="8" spans="2:9" customFormat="1" ht="20.25" customHeight="1">
      <c r="B8" s="109">
        <v>4</v>
      </c>
      <c r="C8" s="105">
        <v>40114800</v>
      </c>
      <c r="D8" s="105" t="s">
        <v>132</v>
      </c>
      <c r="E8" s="106" t="s">
        <v>133</v>
      </c>
      <c r="F8" s="108">
        <v>17</v>
      </c>
      <c r="G8" s="142" t="e">
        <f>VLOOKUP($C8,Зведено!$C$16:$J$35,8,0)</f>
        <v>#N/A</v>
      </c>
      <c r="H8" s="111"/>
      <c r="I8" s="87"/>
    </row>
    <row r="9" spans="2:9" customFormat="1" ht="20.25" customHeight="1">
      <c r="B9" s="109">
        <v>5</v>
      </c>
      <c r="C9" s="105">
        <v>40115600</v>
      </c>
      <c r="D9" s="105" t="s">
        <v>134</v>
      </c>
      <c r="E9" s="106" t="s">
        <v>135</v>
      </c>
      <c r="F9" s="108">
        <v>17</v>
      </c>
      <c r="G9" s="142" t="e">
        <f>VLOOKUP($C9,Зведено!$C$16:$J$35,8,0)</f>
        <v>#N/A</v>
      </c>
      <c r="H9" s="110"/>
      <c r="I9" s="87"/>
    </row>
    <row r="10" spans="2:9" customFormat="1" ht="19.5" customHeight="1">
      <c r="B10" s="109">
        <v>6</v>
      </c>
      <c r="C10" s="105">
        <v>40116100</v>
      </c>
      <c r="D10" s="105" t="s">
        <v>136</v>
      </c>
      <c r="E10" s="106" t="s">
        <v>137</v>
      </c>
      <c r="F10" s="108">
        <v>15</v>
      </c>
      <c r="G10" s="142" t="e">
        <f>VLOOKUP($C10,Зведено!$C$16:$J$35,8,0)</f>
        <v>#N/A</v>
      </c>
      <c r="H10" s="111"/>
      <c r="I10" s="87"/>
    </row>
    <row r="11" spans="2:9" customFormat="1" ht="16.5" customHeight="1">
      <c r="B11" s="109">
        <v>7</v>
      </c>
      <c r="C11" s="105">
        <v>40116400</v>
      </c>
      <c r="D11" s="105" t="s">
        <v>138</v>
      </c>
      <c r="E11" s="106" t="s">
        <v>139</v>
      </c>
      <c r="F11" s="108">
        <v>20</v>
      </c>
      <c r="G11" s="142" t="e">
        <f>VLOOKUP($C11,Зведено!$C$16:$J$35,8,0)</f>
        <v>#N/A</v>
      </c>
      <c r="H11" s="110"/>
      <c r="I11" s="87"/>
    </row>
    <row r="12" spans="2:9" customFormat="1" ht="17.25" customHeight="1">
      <c r="B12" s="109">
        <v>8</v>
      </c>
      <c r="C12" s="105">
        <v>40117100</v>
      </c>
      <c r="D12" s="105" t="s">
        <v>140</v>
      </c>
      <c r="E12" s="106" t="s">
        <v>141</v>
      </c>
      <c r="F12" s="108">
        <v>17</v>
      </c>
      <c r="G12" s="142" t="e">
        <f>VLOOKUP($C12,Зведено!$C$16:$J$35,8,0)</f>
        <v>#N/A</v>
      </c>
      <c r="H12" s="110"/>
    </row>
    <row r="13" spans="2:9" customFormat="1" ht="20.25" customHeight="1">
      <c r="B13" s="109">
        <v>9</v>
      </c>
      <c r="C13" s="105">
        <v>40117400</v>
      </c>
      <c r="D13" s="105" t="s">
        <v>142</v>
      </c>
      <c r="E13" s="106" t="s">
        <v>143</v>
      </c>
      <c r="F13" s="108">
        <v>15</v>
      </c>
      <c r="G13" s="142" t="e">
        <f>VLOOKUP($C13,Зведено!$C$16:$J$35,8,0)</f>
        <v>#N/A</v>
      </c>
      <c r="H13" s="110"/>
    </row>
    <row r="14" spans="2:9" customFormat="1" ht="16.5" customHeight="1">
      <c r="B14" s="109">
        <v>10</v>
      </c>
      <c r="C14" s="105">
        <v>40118100</v>
      </c>
      <c r="D14" s="105" t="s">
        <v>144</v>
      </c>
      <c r="E14" s="106" t="s">
        <v>145</v>
      </c>
      <c r="F14" s="108">
        <v>17</v>
      </c>
      <c r="G14" s="142" t="e">
        <f>VLOOKUP($C14,Зведено!$C$16:$J$35,8,0)</f>
        <v>#N/A</v>
      </c>
      <c r="H14" s="110"/>
    </row>
    <row r="15" spans="2:9" customFormat="1" ht="20.25" customHeight="1">
      <c r="B15" s="109">
        <v>11</v>
      </c>
      <c r="C15" s="105">
        <v>40162300</v>
      </c>
      <c r="D15" s="105" t="s">
        <v>146</v>
      </c>
      <c r="E15" s="106" t="s">
        <v>147</v>
      </c>
      <c r="F15" s="108">
        <v>15</v>
      </c>
      <c r="G15" s="142" t="e">
        <f>VLOOKUP($C15,Зведено!$C$16:$J$35,8,0)</f>
        <v>#N/A</v>
      </c>
      <c r="H15" s="111"/>
    </row>
    <row r="16" spans="2:9" customFormat="1" ht="22.5" customHeight="1">
      <c r="B16" s="109">
        <v>12</v>
      </c>
      <c r="C16" s="105">
        <v>40118700</v>
      </c>
      <c r="D16" s="105" t="s">
        <v>148</v>
      </c>
      <c r="E16" s="106" t="s">
        <v>149</v>
      </c>
      <c r="F16" s="108">
        <v>18</v>
      </c>
      <c r="G16" s="142" t="e">
        <f>VLOOKUP($C16,Зведено!$C$16:$J$35,8,0)</f>
        <v>#N/A</v>
      </c>
      <c r="H16" s="110"/>
    </row>
    <row r="17" spans="2:9" customFormat="1" ht="20.25" customHeight="1">
      <c r="B17" s="109">
        <v>13</v>
      </c>
      <c r="C17" s="105">
        <v>40164100</v>
      </c>
      <c r="D17" s="105" t="s">
        <v>150</v>
      </c>
      <c r="E17" s="106" t="s">
        <v>152</v>
      </c>
      <c r="F17" s="108">
        <v>18</v>
      </c>
      <c r="G17" s="142" t="e">
        <f>VLOOKUP($C17,Зведено!$C$16:$J$35,8,0)</f>
        <v>#N/A</v>
      </c>
      <c r="H17" s="110"/>
    </row>
    <row r="18" spans="2:9" customFormat="1" ht="18.75" customHeight="1">
      <c r="B18" s="109">
        <v>14</v>
      </c>
      <c r="C18" s="105">
        <v>40164300</v>
      </c>
      <c r="D18" s="105" t="s">
        <v>151</v>
      </c>
      <c r="E18" s="106" t="s">
        <v>153</v>
      </c>
      <c r="F18" s="108">
        <v>20</v>
      </c>
      <c r="G18" s="142" t="e">
        <f>VLOOKUP($C18,Зведено!$C$16:$J$35,8,0)</f>
        <v>#N/A</v>
      </c>
      <c r="H18" s="110"/>
    </row>
    <row r="19" spans="2:9" customFormat="1" ht="20.25" customHeight="1">
      <c r="B19" s="109">
        <v>15</v>
      </c>
      <c r="C19" s="105">
        <v>40513300</v>
      </c>
      <c r="D19" s="105" t="s">
        <v>154</v>
      </c>
      <c r="E19" s="106" t="s">
        <v>155</v>
      </c>
      <c r="F19" s="108">
        <v>15</v>
      </c>
      <c r="G19" s="142" t="e">
        <f>VLOOKUP($C19,Зведено!$C$16:$J$35,8,0)</f>
        <v>#N/A</v>
      </c>
      <c r="H19" s="111"/>
      <c r="I19" s="87"/>
    </row>
    <row r="20" spans="2:9" customFormat="1" ht="20.25" customHeight="1">
      <c r="B20" s="109">
        <v>16</v>
      </c>
      <c r="C20" s="105">
        <v>40510400</v>
      </c>
      <c r="D20" s="105" t="s">
        <v>114</v>
      </c>
      <c r="E20" s="106" t="s">
        <v>156</v>
      </c>
      <c r="F20" s="108">
        <v>18</v>
      </c>
      <c r="G20" s="142" t="e">
        <f>VLOOKUP($C20,Зведено!$C$16:$J$35,8,0)</f>
        <v>#N/A</v>
      </c>
      <c r="H20" s="110"/>
      <c r="I20" s="87"/>
    </row>
    <row r="21" spans="2:9" customFormat="1" ht="19.5" customHeight="1">
      <c r="B21" s="109">
        <v>17</v>
      </c>
      <c r="C21" s="105">
        <v>40511000</v>
      </c>
      <c r="D21" s="105" t="s">
        <v>157</v>
      </c>
      <c r="E21" s="106" t="s">
        <v>262</v>
      </c>
      <c r="F21" s="108">
        <v>18</v>
      </c>
      <c r="G21" s="142" t="e">
        <f>VLOOKUP($C21,Зведено!$C$16:$J$35,8,0)</f>
        <v>#N/A</v>
      </c>
      <c r="H21" s="111"/>
      <c r="I21" s="87"/>
    </row>
    <row r="22" spans="2:9" customFormat="1" ht="16.5" customHeight="1">
      <c r="B22" s="109">
        <v>18</v>
      </c>
      <c r="C22" s="105">
        <v>40511100</v>
      </c>
      <c r="D22" s="105" t="s">
        <v>158</v>
      </c>
      <c r="E22" s="106" t="s">
        <v>159</v>
      </c>
      <c r="F22" s="108">
        <v>20</v>
      </c>
      <c r="G22" s="142" t="e">
        <f>VLOOKUP($C22,Зведено!$C$16:$J$35,8,0)</f>
        <v>#N/A</v>
      </c>
      <c r="H22" s="110"/>
      <c r="I22" s="87"/>
    </row>
    <row r="23" spans="2:9" customFormat="1" ht="17.25" customHeight="1">
      <c r="B23" s="109">
        <v>19</v>
      </c>
      <c r="C23" s="105">
        <v>40511400</v>
      </c>
      <c r="D23" s="105" t="s">
        <v>160</v>
      </c>
      <c r="E23" s="106" t="s">
        <v>163</v>
      </c>
      <c r="F23" s="108">
        <v>18</v>
      </c>
      <c r="G23" s="142" t="e">
        <f>VLOOKUP($C23,Зведено!$C$16:$J$35,8,0)</f>
        <v>#N/A</v>
      </c>
      <c r="H23" s="110"/>
    </row>
    <row r="24" spans="2:9" customFormat="1" ht="20.25" customHeight="1">
      <c r="B24" s="109">
        <v>20</v>
      </c>
      <c r="C24" s="105">
        <v>40511500</v>
      </c>
      <c r="D24" s="105" t="s">
        <v>161</v>
      </c>
      <c r="E24" s="106" t="s">
        <v>164</v>
      </c>
      <c r="F24" s="108">
        <v>18</v>
      </c>
      <c r="G24" s="142" t="e">
        <f>VLOOKUP($C24,Зведено!$C$16:$J$35,8,0)</f>
        <v>#N/A</v>
      </c>
      <c r="H24" s="110"/>
    </row>
    <row r="25" spans="2:9" customFormat="1" ht="16.5" customHeight="1">
      <c r="B25" s="109">
        <v>21</v>
      </c>
      <c r="C25" s="105">
        <v>40511600</v>
      </c>
      <c r="D25" s="105" t="s">
        <v>162</v>
      </c>
      <c r="E25" s="106" t="s">
        <v>165</v>
      </c>
      <c r="F25" s="108">
        <v>17</v>
      </c>
      <c r="G25" s="142" t="e">
        <f>VLOOKUP($C25,Зведено!$C$16:$J$35,8,0)</f>
        <v>#N/A</v>
      </c>
      <c r="H25" s="110"/>
    </row>
    <row r="26" spans="2:9" customFormat="1" ht="20.25" customHeight="1">
      <c r="B26" s="109">
        <v>22</v>
      </c>
      <c r="C26" s="105">
        <v>40512100</v>
      </c>
      <c r="D26" s="105" t="s">
        <v>166</v>
      </c>
      <c r="E26" s="106" t="s">
        <v>167</v>
      </c>
      <c r="F26" s="108">
        <v>17</v>
      </c>
      <c r="G26" s="142" t="e">
        <f>VLOOKUP($C26,Зведено!$C$16:$J$35,8,0)</f>
        <v>#N/A</v>
      </c>
      <c r="H26" s="111"/>
    </row>
    <row r="27" spans="2:9" customFormat="1" ht="22.5" customHeight="1">
      <c r="B27" s="109">
        <v>23</v>
      </c>
      <c r="C27" s="105">
        <v>40512500</v>
      </c>
      <c r="D27" s="105" t="s">
        <v>168</v>
      </c>
      <c r="E27" s="106" t="s">
        <v>261</v>
      </c>
      <c r="F27" s="108">
        <v>17</v>
      </c>
      <c r="G27" s="142" t="e">
        <f>VLOOKUP($C27,Зведено!$C$16:$J$35,8,0)</f>
        <v>#N/A</v>
      </c>
      <c r="H27" s="110"/>
    </row>
    <row r="28" spans="2:9" customFormat="1" ht="20.25" customHeight="1">
      <c r="B28" s="109">
        <v>24</v>
      </c>
      <c r="C28" s="105">
        <v>40563200</v>
      </c>
      <c r="D28" s="105" t="s">
        <v>169</v>
      </c>
      <c r="E28" s="106" t="s">
        <v>170</v>
      </c>
      <c r="F28" s="108">
        <v>20</v>
      </c>
      <c r="G28" s="142" t="e">
        <f>VLOOKUP($C28,Зведено!$C$16:$J$35,8,0)</f>
        <v>#N/A</v>
      </c>
      <c r="H28" s="110"/>
    </row>
    <row r="29" spans="2:9" customFormat="1" ht="18.75" customHeight="1">
      <c r="B29" s="109">
        <v>25</v>
      </c>
      <c r="C29" s="105">
        <v>40310100</v>
      </c>
      <c r="D29" s="105" t="s">
        <v>118</v>
      </c>
      <c r="E29" s="106" t="s">
        <v>171</v>
      </c>
      <c r="F29" s="108">
        <v>17</v>
      </c>
      <c r="G29" s="142" t="e">
        <f>VLOOKUP($C29,Зведено!$C$16:$J$35,8,0)</f>
        <v>#N/A</v>
      </c>
      <c r="H29" s="110"/>
    </row>
    <row r="30" spans="2:9" customFormat="1" ht="20.25" customHeight="1">
      <c r="B30" s="109">
        <v>26</v>
      </c>
      <c r="C30" s="105">
        <v>40311900</v>
      </c>
      <c r="D30" s="105" t="s">
        <v>172</v>
      </c>
      <c r="E30" s="106" t="s">
        <v>173</v>
      </c>
      <c r="F30" s="108">
        <v>15</v>
      </c>
      <c r="G30" s="142" t="e">
        <f>VLOOKUP($C30,Зведено!$C$16:$J$35,8,0)</f>
        <v>#N/A</v>
      </c>
      <c r="H30" s="111"/>
      <c r="I30" s="87"/>
    </row>
    <row r="31" spans="2:9" customFormat="1" ht="20.25" customHeight="1">
      <c r="B31" s="109">
        <v>27</v>
      </c>
      <c r="C31" s="105">
        <v>40312300</v>
      </c>
      <c r="D31" s="105" t="s">
        <v>174</v>
      </c>
      <c r="E31" s="106" t="s">
        <v>175</v>
      </c>
      <c r="F31" s="108">
        <v>17</v>
      </c>
      <c r="G31" s="142" t="e">
        <f>VLOOKUP($C31,Зведено!$C$16:$J$35,8,0)</f>
        <v>#N/A</v>
      </c>
      <c r="H31" s="110"/>
      <c r="I31" s="87"/>
    </row>
    <row r="32" spans="2:9" customFormat="1" ht="19.5" customHeight="1">
      <c r="B32" s="109">
        <v>28</v>
      </c>
      <c r="C32" s="105">
        <v>40312800</v>
      </c>
      <c r="D32" s="105" t="s">
        <v>169</v>
      </c>
      <c r="E32" s="106" t="s">
        <v>176</v>
      </c>
      <c r="F32" s="108">
        <v>20</v>
      </c>
      <c r="G32" s="142" t="e">
        <f>VLOOKUP($C32,Зведено!$C$16:$J$35,8,0)</f>
        <v>#N/A</v>
      </c>
      <c r="H32" s="111"/>
      <c r="I32" s="87"/>
    </row>
    <row r="33" spans="1:12" customFormat="1" ht="25.5" customHeight="1" thickBot="1">
      <c r="B33" s="112"/>
      <c r="C33" s="113"/>
      <c r="D33" s="113"/>
      <c r="E33" s="113" t="s">
        <v>57</v>
      </c>
      <c r="F33" s="114">
        <f>SUM(F5:F32)</f>
        <v>496</v>
      </c>
      <c r="G33" s="114" t="e">
        <f>SUM(G5:G32)</f>
        <v>#N/A</v>
      </c>
      <c r="H33" s="115"/>
    </row>
    <row r="34" spans="1:12" customFormat="1" ht="15.75">
      <c r="A34" s="29"/>
      <c r="B34" s="37" t="str">
        <f xml:space="preserve"> "ТЕРМІН ВИКОНАННЯ - "&amp;$G$42&amp;" днів."</f>
        <v>ТЕРМІН ВИКОНАННЯ - 0 днів.</v>
      </c>
      <c r="C34" s="37"/>
      <c r="D34" s="30"/>
      <c r="E34" s="30"/>
      <c r="F34" s="31"/>
      <c r="G34" s="30"/>
      <c r="H34" s="30"/>
      <c r="I34" s="32"/>
      <c r="J34" s="6"/>
      <c r="K34" s="6"/>
      <c r="L34" s="6"/>
    </row>
    <row r="35" spans="1:12" customFormat="1" ht="28.5" customHeight="1">
      <c r="A35" s="29"/>
      <c r="B35" s="33" t="s">
        <v>20</v>
      </c>
      <c r="C35" s="33"/>
      <c r="D35" s="33"/>
      <c r="E35" s="33"/>
      <c r="F35" s="33"/>
      <c r="G35" s="33"/>
      <c r="I35" s="35"/>
      <c r="J35" s="6"/>
      <c r="K35" s="6"/>
      <c r="L35" s="6"/>
    </row>
    <row r="36" spans="1:12" customFormat="1" ht="18">
      <c r="A36" s="6"/>
      <c r="B36" s="15" t="s">
        <v>21</v>
      </c>
      <c r="C36" s="15"/>
      <c r="D36" s="16"/>
      <c r="E36" s="16"/>
      <c r="F36" s="9"/>
      <c r="G36" s="9"/>
      <c r="H36" s="9"/>
      <c r="I36" s="6"/>
      <c r="J36" s="6"/>
      <c r="K36" s="6"/>
      <c r="L36" s="6"/>
    </row>
    <row r="37" spans="1:12" customFormat="1" ht="21.75" customHeight="1">
      <c r="A37" s="10"/>
      <c r="B37" s="121">
        <v>1</v>
      </c>
      <c r="C37" s="10" t="s">
        <v>22</v>
      </c>
      <c r="D37" s="107"/>
      <c r="E37" s="107"/>
      <c r="F37" s="107"/>
      <c r="G37" s="21">
        <f>Зведено!H38</f>
        <v>0</v>
      </c>
      <c r="H37" s="10" t="s">
        <v>23</v>
      </c>
      <c r="I37" s="22"/>
      <c r="J37" s="6"/>
      <c r="K37" s="6"/>
      <c r="L37" s="6"/>
    </row>
    <row r="38" spans="1:12" customFormat="1" ht="20.25" customHeight="1">
      <c r="A38" s="10"/>
      <c r="B38" s="121">
        <f>1+B37</f>
        <v>2</v>
      </c>
      <c r="C38" s="10" t="s">
        <v>24</v>
      </c>
      <c r="D38" s="107"/>
      <c r="E38" s="107"/>
      <c r="F38" s="107"/>
      <c r="G38" s="21">
        <f>Зведено!H39</f>
        <v>0</v>
      </c>
      <c r="H38" s="10" t="s">
        <v>25</v>
      </c>
      <c r="I38" s="6"/>
      <c r="J38" s="6"/>
      <c r="K38" s="6"/>
      <c r="L38" s="6"/>
    </row>
    <row r="39" spans="1:12" customFormat="1" ht="18.75" customHeight="1">
      <c r="A39" s="10"/>
      <c r="B39" s="121">
        <f t="shared" ref="B39:B50" si="0">1+B38</f>
        <v>3</v>
      </c>
      <c r="C39" s="10" t="s">
        <v>26</v>
      </c>
      <c r="D39" s="107"/>
      <c r="E39" s="107"/>
      <c r="F39" s="107"/>
      <c r="G39" s="21">
        <f>Зведено!H40</f>
        <v>0</v>
      </c>
      <c r="H39" s="10" t="s">
        <v>27</v>
      </c>
      <c r="I39" s="6"/>
      <c r="J39" s="6"/>
      <c r="K39" s="6"/>
    </row>
    <row r="40" spans="1:12" customFormat="1" ht="16.5" customHeight="1">
      <c r="A40" s="10"/>
      <c r="B40" s="121">
        <f t="shared" si="0"/>
        <v>4</v>
      </c>
      <c r="C40" s="10" t="s">
        <v>42</v>
      </c>
      <c r="D40" s="107"/>
      <c r="E40" s="107"/>
      <c r="F40" s="107"/>
      <c r="G40" s="21">
        <f>Зведено!H41</f>
        <v>0</v>
      </c>
      <c r="H40" s="10" t="s">
        <v>281</v>
      </c>
      <c r="I40" s="6"/>
      <c r="J40" s="6"/>
      <c r="K40" s="6"/>
    </row>
    <row r="41" spans="1:12" customFormat="1" ht="18.75" customHeight="1">
      <c r="A41" s="10"/>
      <c r="B41" s="121">
        <f t="shared" si="0"/>
        <v>5</v>
      </c>
      <c r="C41" s="10" t="s">
        <v>28</v>
      </c>
      <c r="D41" s="10"/>
      <c r="E41" s="10"/>
      <c r="F41" s="10"/>
      <c r="G41" s="21">
        <f>Зведено!H42</f>
        <v>0</v>
      </c>
      <c r="H41" s="10" t="s">
        <v>29</v>
      </c>
      <c r="I41" s="6"/>
      <c r="J41" s="6"/>
      <c r="K41" s="6"/>
    </row>
    <row r="42" spans="1:12" customFormat="1" ht="18" customHeight="1">
      <c r="A42" s="10"/>
      <c r="B42" s="121">
        <f t="shared" si="0"/>
        <v>6</v>
      </c>
      <c r="C42" s="10" t="s">
        <v>113</v>
      </c>
      <c r="D42" s="107"/>
      <c r="E42" s="107"/>
      <c r="F42" s="107"/>
      <c r="G42" s="21">
        <f>Зведено!H43</f>
        <v>0</v>
      </c>
      <c r="H42" s="10" t="s">
        <v>293</v>
      </c>
      <c r="I42" s="6"/>
      <c r="J42" s="6"/>
      <c r="K42" s="6"/>
    </row>
    <row r="43" spans="1:12" customFormat="1" ht="18" customHeight="1">
      <c r="A43" s="10"/>
      <c r="B43" s="121">
        <f t="shared" si="0"/>
        <v>7</v>
      </c>
      <c r="C43" s="10" t="s">
        <v>30</v>
      </c>
      <c r="D43" s="10"/>
      <c r="E43" s="10"/>
      <c r="F43" s="10"/>
      <c r="G43" s="21">
        <f>Зведено!H44</f>
        <v>0</v>
      </c>
      <c r="H43" s="10" t="s">
        <v>31</v>
      </c>
      <c r="I43" s="6"/>
    </row>
    <row r="44" spans="1:12" customFormat="1" ht="15">
      <c r="A44" s="10"/>
      <c r="B44" s="121">
        <f t="shared" si="0"/>
        <v>8</v>
      </c>
      <c r="C44" s="12" t="s">
        <v>32</v>
      </c>
      <c r="D44" s="12"/>
      <c r="E44" s="12"/>
      <c r="F44" s="12"/>
      <c r="G44" s="21">
        <f>Зведено!H45</f>
        <v>0</v>
      </c>
      <c r="H44" s="10" t="s">
        <v>33</v>
      </c>
      <c r="I44" s="6"/>
    </row>
    <row r="45" spans="1:12" customFormat="1" ht="15">
      <c r="A45" s="10"/>
      <c r="B45" s="121">
        <f t="shared" si="0"/>
        <v>9</v>
      </c>
      <c r="C45" s="12" t="s">
        <v>34</v>
      </c>
      <c r="D45" s="12"/>
      <c r="E45" s="12"/>
      <c r="F45" s="12"/>
      <c r="G45" s="21">
        <f>Зведено!H46</f>
        <v>0</v>
      </c>
      <c r="H45" s="10" t="s">
        <v>35</v>
      </c>
      <c r="I45" s="6"/>
    </row>
    <row r="46" spans="1:12" customFormat="1" ht="15">
      <c r="A46" s="10"/>
      <c r="B46" s="121">
        <f t="shared" si="0"/>
        <v>10</v>
      </c>
      <c r="C46" s="13" t="s">
        <v>36</v>
      </c>
      <c r="D46" s="13"/>
      <c r="E46" s="13"/>
      <c r="F46" s="13"/>
      <c r="G46" s="21">
        <f>Зведено!H47</f>
        <v>0</v>
      </c>
      <c r="H46" s="10" t="s">
        <v>37</v>
      </c>
      <c r="I46" s="6"/>
    </row>
    <row r="47" spans="1:12" customFormat="1" ht="15.75">
      <c r="A47" s="10"/>
      <c r="B47" s="121">
        <f t="shared" si="0"/>
        <v>11</v>
      </c>
      <c r="C47" s="13" t="s">
        <v>38</v>
      </c>
      <c r="D47" s="20" t="s">
        <v>39</v>
      </c>
      <c r="E47" s="20"/>
      <c r="F47" s="20"/>
      <c r="G47" s="18"/>
      <c r="H47" s="9"/>
      <c r="I47" s="6"/>
    </row>
    <row r="48" spans="1:12" customFormat="1" ht="21.75" customHeight="1">
      <c r="A48" s="10"/>
      <c r="B48" s="121">
        <f t="shared" si="0"/>
        <v>12</v>
      </c>
      <c r="C48" s="12" t="s">
        <v>40</v>
      </c>
      <c r="D48" s="7"/>
      <c r="E48" s="7"/>
      <c r="F48" s="7"/>
      <c r="G48" s="7"/>
      <c r="H48" s="7"/>
      <c r="I48" s="6"/>
    </row>
    <row r="49" spans="1:9" customFormat="1" ht="15">
      <c r="A49" s="10"/>
      <c r="B49" s="121">
        <f t="shared" si="0"/>
        <v>13</v>
      </c>
      <c r="C49" s="17" t="s">
        <v>52</v>
      </c>
      <c r="D49" s="8"/>
      <c r="E49" s="8"/>
      <c r="F49" s="8"/>
      <c r="G49" s="6"/>
      <c r="H49" s="8"/>
      <c r="I49" s="6"/>
    </row>
    <row r="50" spans="1:9" customFormat="1" ht="15">
      <c r="A50" s="10"/>
      <c r="B50" s="10">
        <f t="shared" si="0"/>
        <v>14</v>
      </c>
      <c r="C50" s="14" t="s">
        <v>41</v>
      </c>
      <c r="D50" s="7"/>
      <c r="E50" s="7"/>
      <c r="F50" s="7"/>
      <c r="G50" s="7"/>
      <c r="H50" s="7"/>
    </row>
  </sheetData>
  <mergeCells count="2">
    <mergeCell ref="C2:G2"/>
    <mergeCell ref="C3:H3"/>
  </mergeCells>
  <hyperlinks>
    <hyperlink ref="D47" r:id="rId1" xr:uid="{00000000-0004-0000-0500-000000000000}"/>
  </hyperlinks>
  <pageMargins left="0.31496062992125984" right="0.31496062992125984" top="0.74803149606299213" bottom="0.35433070866141736" header="0.31496062992125984" footer="0.31496062992125984"/>
  <pageSetup paperSize="9" scale="60" orientation="landscape" r:id="rId2"/>
  <customProperties>
    <customPr name="_pios_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Аркуш2">
    <tabColor theme="8" tint="0.39997558519241921"/>
  </sheetPr>
  <dimension ref="A1:R54"/>
  <sheetViews>
    <sheetView showGridLines="0" zoomScale="70" zoomScaleNormal="70" workbookViewId="0">
      <pane xSplit="9" ySplit="5" topLeftCell="J36" activePane="bottomRight" state="frozen"/>
      <selection activeCell="I26" sqref="I26"/>
      <selection pane="topRight" activeCell="I26" sqref="I26"/>
      <selection pane="bottomLeft" activeCell="I26" sqref="I26"/>
      <selection pane="bottomRight" activeCell="I26" sqref="I26"/>
    </sheetView>
  </sheetViews>
  <sheetFormatPr defaultColWidth="10.33203125" defaultRowHeight="11.25"/>
  <cols>
    <col min="1" max="1" width="4.83203125" customWidth="1"/>
    <col min="2" max="2" width="23.33203125" customWidth="1"/>
    <col min="3" max="3" width="41.5" customWidth="1"/>
    <col min="4" max="4" width="16.33203125" customWidth="1"/>
    <col min="5" max="5" width="6.5" customWidth="1"/>
    <col min="6" max="6" width="10.83203125" customWidth="1"/>
    <col min="7" max="7" width="9.33203125" customWidth="1"/>
    <col min="8" max="8" width="13.33203125" customWidth="1"/>
    <col min="9" max="9" width="17.83203125" customWidth="1"/>
    <col min="10" max="10" width="32.33203125" customWidth="1"/>
    <col min="11" max="11" width="10.83203125" customWidth="1"/>
    <col min="15" max="15" width="24.6640625" customWidth="1"/>
    <col min="17" max="17" width="30" customWidth="1"/>
    <col min="18" max="18" width="16" customWidth="1"/>
  </cols>
  <sheetData>
    <row r="1" spans="1:12" s="3" customFormat="1" ht="15.75" customHeight="1">
      <c r="B1" s="247" t="s">
        <v>8</v>
      </c>
      <c r="C1" s="248"/>
      <c r="D1" s="248"/>
      <c r="E1" s="248"/>
      <c r="F1" s="248"/>
      <c r="G1" s="248"/>
      <c r="H1" s="248"/>
      <c r="I1" s="248"/>
      <c r="J1" s="4"/>
      <c r="K1" s="155">
        <v>40111700</v>
      </c>
      <c r="L1" s="2" t="s">
        <v>255</v>
      </c>
    </row>
    <row r="2" spans="1:12" ht="30" customHeight="1" thickBot="1">
      <c r="A2" s="42"/>
      <c r="B2" s="249" t="str">
        <f>"Встановлення сонячної електростанції на  "&amp;VLOOKUP($K$1,ДляДоговору!$C$4:$G$33,2,0)&amp;" "&amp;VLOOKUP($K$1,ДляДоговору!$C$4:$G$33,3,0)&amp;" потужністю "&amp;VLOOKUP($K$1,ДляДоговору!$C$4:$G$33,4,0)&amp;" кВт, для використання електроенергії під власні потреби"</f>
        <v>Встановлення сонячної електростанції на  АЗС_17 Львівська обл., Яворівський р-н, смт.Краковець, вул.Вербицького, 68  потужністю 20 кВт, для використання електроенергії під власні потреби</v>
      </c>
      <c r="C2" s="249"/>
      <c r="D2" s="249"/>
      <c r="E2" s="249"/>
      <c r="F2" s="249"/>
      <c r="G2" s="249"/>
      <c r="H2" s="249"/>
      <c r="I2" s="249"/>
      <c r="J2" s="42"/>
      <c r="K2" s="151">
        <f>Зведено!$H$2</f>
        <v>42.195900000000002</v>
      </c>
      <c r="L2" s="2" t="s">
        <v>297</v>
      </c>
    </row>
    <row r="3" spans="1:12" s="2" customFormat="1" ht="39.75" customHeight="1" thickBot="1">
      <c r="A3" s="40" t="s">
        <v>0</v>
      </c>
      <c r="B3" s="26" t="s">
        <v>6</v>
      </c>
      <c r="C3" s="250" t="s">
        <v>7</v>
      </c>
      <c r="D3" s="251"/>
      <c r="E3" s="252"/>
      <c r="F3" s="26" t="s">
        <v>16</v>
      </c>
      <c r="G3" s="26" t="s">
        <v>1</v>
      </c>
      <c r="H3" s="26" t="s">
        <v>19</v>
      </c>
      <c r="I3" s="26" t="s">
        <v>17</v>
      </c>
      <c r="J3" s="41" t="s">
        <v>45</v>
      </c>
      <c r="K3" s="151">
        <f>Зведено!$H$2</f>
        <v>42.195900000000002</v>
      </c>
      <c r="L3" s="2" t="s">
        <v>291</v>
      </c>
    </row>
    <row r="4" spans="1:12" s="2" customFormat="1" ht="10.5" customHeight="1" thickBot="1">
      <c r="A4" s="25">
        <v>1</v>
      </c>
      <c r="B4" s="26">
        <v>2</v>
      </c>
      <c r="C4" s="250">
        <v>3</v>
      </c>
      <c r="D4" s="251"/>
      <c r="E4" s="252"/>
      <c r="F4" s="27">
        <v>4</v>
      </c>
      <c r="G4" s="27">
        <v>5</v>
      </c>
      <c r="H4" s="27">
        <v>6</v>
      </c>
      <c r="I4" s="27">
        <v>7</v>
      </c>
      <c r="J4" s="28">
        <v>8</v>
      </c>
      <c r="K4" s="23"/>
    </row>
    <row r="5" spans="1:12" s="2" customFormat="1" ht="18.75" customHeight="1" thickBot="1">
      <c r="A5" s="156"/>
      <c r="B5" s="157"/>
      <c r="C5" s="158" t="s">
        <v>276</v>
      </c>
      <c r="D5" s="159"/>
      <c r="E5" s="160"/>
      <c r="F5" s="161" t="s">
        <v>287</v>
      </c>
      <c r="G5" s="150" t="e">
        <f>VLOOKUP($K$1,Зведено!$C$16:$AC$35,5,0)</f>
        <v>#N/A</v>
      </c>
      <c r="H5" s="162" t="e">
        <f>I5/G5</f>
        <v>#N/A</v>
      </c>
      <c r="I5" s="162" t="e">
        <f>SUM(I6:I37)</f>
        <v>#N/A</v>
      </c>
      <c r="J5" s="163"/>
    </row>
    <row r="6" spans="1:12" s="2" customFormat="1" ht="63" customHeight="1">
      <c r="A6" s="60">
        <v>1</v>
      </c>
      <c r="B6" s="61" t="s">
        <v>290</v>
      </c>
      <c r="C6" s="253" t="s">
        <v>123</v>
      </c>
      <c r="D6" s="254"/>
      <c r="E6" s="255"/>
      <c r="F6" s="62" t="s">
        <v>15</v>
      </c>
      <c r="G6" s="63">
        <v>1</v>
      </c>
      <c r="H6" s="150" t="e">
        <f>VLOOKUP($K$1,Зведено!$C$16:$AC$35,14,0)</f>
        <v>#N/A</v>
      </c>
      <c r="I6" s="64" t="e">
        <f t="shared" ref="I6" si="0">H6*G6</f>
        <v>#N/A</v>
      </c>
      <c r="J6" s="65" t="s">
        <v>60</v>
      </c>
    </row>
    <row r="7" spans="1:12" s="1" customFormat="1" ht="18" customHeight="1">
      <c r="A7" s="276">
        <v>2</v>
      </c>
      <c r="B7" s="279" t="str">
        <f xml:space="preserve"> "Сонячна панелі "&amp;Зведено!$E$4&amp;" "&amp;Зведено!$E$5</f>
        <v xml:space="preserve">Сонячна панелі  </v>
      </c>
      <c r="C7" s="66" t="s">
        <v>84</v>
      </c>
      <c r="D7" s="144">
        <f>Зведено!$E$8</f>
        <v>0</v>
      </c>
      <c r="E7" s="67" t="s">
        <v>90</v>
      </c>
      <c r="F7" s="265" t="s">
        <v>13</v>
      </c>
      <c r="G7" s="268" t="e">
        <f>VLOOKUP($K$1,Зведено!$C$16:$AC$35,10,0)</f>
        <v>#N/A</v>
      </c>
      <c r="H7" s="256">
        <f>Зведено!$E$7/Зведено!$H$2*ШаблонАкту!$K$3</f>
        <v>0</v>
      </c>
      <c r="I7" s="256" t="e">
        <f>H7*G7</f>
        <v>#N/A</v>
      </c>
      <c r="J7" s="259" t="s">
        <v>59</v>
      </c>
    </row>
    <row r="8" spans="1:12" s="1" customFormat="1" ht="13.5" customHeight="1">
      <c r="A8" s="277"/>
      <c r="B8" s="280"/>
      <c r="C8" s="68" t="s">
        <v>83</v>
      </c>
      <c r="D8" s="69"/>
      <c r="E8" s="70"/>
      <c r="F8" s="266"/>
      <c r="G8" s="269"/>
      <c r="H8" s="257"/>
      <c r="I8" s="257"/>
      <c r="J8" s="260"/>
    </row>
    <row r="9" spans="1:12" s="1" customFormat="1" ht="14.25" customHeight="1">
      <c r="A9" s="277"/>
      <c r="B9" s="280"/>
      <c r="C9" s="68" t="s">
        <v>85</v>
      </c>
      <c r="D9" s="143">
        <f>Зведено!$E8</f>
        <v>0</v>
      </c>
      <c r="E9" s="70" t="s">
        <v>91</v>
      </c>
      <c r="F9" s="266"/>
      <c r="G9" s="269"/>
      <c r="H9" s="257"/>
      <c r="I9" s="257"/>
      <c r="J9" s="260"/>
    </row>
    <row r="10" spans="1:12" s="1" customFormat="1" ht="15" customHeight="1">
      <c r="A10" s="277"/>
      <c r="B10" s="280"/>
      <c r="C10" s="68" t="s">
        <v>87</v>
      </c>
      <c r="D10" s="143">
        <f>Зведено!$E9</f>
        <v>0</v>
      </c>
      <c r="E10" s="70" t="s">
        <v>92</v>
      </c>
      <c r="F10" s="266"/>
      <c r="G10" s="269"/>
      <c r="H10" s="257"/>
      <c r="I10" s="257"/>
      <c r="J10" s="260"/>
    </row>
    <row r="11" spans="1:12" s="1" customFormat="1" ht="12.75" customHeight="1">
      <c r="A11" s="277"/>
      <c r="B11" s="280"/>
      <c r="C11" s="68" t="s">
        <v>86</v>
      </c>
      <c r="D11" s="143">
        <f>Зведено!$E10</f>
        <v>0</v>
      </c>
      <c r="E11" s="70" t="s">
        <v>91</v>
      </c>
      <c r="F11" s="266"/>
      <c r="G11" s="269"/>
      <c r="H11" s="257"/>
      <c r="I11" s="257"/>
      <c r="J11" s="260"/>
    </row>
    <row r="12" spans="1:12" s="1" customFormat="1" ht="15.75" customHeight="1">
      <c r="A12" s="277"/>
      <c r="B12" s="280"/>
      <c r="C12" s="68" t="s">
        <v>88</v>
      </c>
      <c r="D12" s="143">
        <f>Зведено!$E11</f>
        <v>0</v>
      </c>
      <c r="E12" s="70" t="s">
        <v>92</v>
      </c>
      <c r="F12" s="266"/>
      <c r="G12" s="269"/>
      <c r="H12" s="257"/>
      <c r="I12" s="257"/>
      <c r="J12" s="260"/>
    </row>
    <row r="13" spans="1:12" s="1" customFormat="1" ht="16.5" customHeight="1">
      <c r="A13" s="277"/>
      <c r="B13" s="280"/>
      <c r="C13" s="68" t="s">
        <v>89</v>
      </c>
      <c r="D13" s="143">
        <f>Зведено!$E13</f>
        <v>0</v>
      </c>
      <c r="E13" s="70" t="s">
        <v>98</v>
      </c>
      <c r="F13" s="266"/>
      <c r="G13" s="269"/>
      <c r="H13" s="257"/>
      <c r="I13" s="257"/>
      <c r="J13" s="260"/>
    </row>
    <row r="14" spans="1:12" s="1" customFormat="1" ht="15" customHeight="1">
      <c r="A14" s="278"/>
      <c r="B14" s="281"/>
      <c r="C14" s="154" t="s">
        <v>288</v>
      </c>
      <c r="D14" s="152"/>
      <c r="E14" s="153"/>
      <c r="F14" s="267"/>
      <c r="G14" s="270"/>
      <c r="H14" s="258"/>
      <c r="I14" s="258"/>
      <c r="J14" s="261"/>
    </row>
    <row r="15" spans="1:12" s="1" customFormat="1" ht="20.25" customHeight="1">
      <c r="A15" s="262">
        <v>3</v>
      </c>
      <c r="B15" s="71" t="s">
        <v>72</v>
      </c>
      <c r="C15" s="72" t="s">
        <v>73</v>
      </c>
      <c r="D15" s="73" t="e">
        <f>HLOOKUP($B$16,ТехІнфо!$A$1:$P$53,8,0)</f>
        <v>#N/A</v>
      </c>
      <c r="E15" s="74" t="s">
        <v>92</v>
      </c>
      <c r="F15" s="265" t="s">
        <v>13</v>
      </c>
      <c r="G15" s="268">
        <v>1</v>
      </c>
      <c r="H15" s="256" t="e">
        <f>VLOOKUP($K$1,Зведено!$C$16:$AC$35,16,0)/$K$2*$K$3</f>
        <v>#N/A</v>
      </c>
      <c r="I15" s="256" t="e">
        <f>H15*G15</f>
        <v>#N/A</v>
      </c>
      <c r="J15" s="259" t="s">
        <v>60</v>
      </c>
    </row>
    <row r="16" spans="1:12" s="1" customFormat="1" ht="14.25" customHeight="1">
      <c r="A16" s="263"/>
      <c r="B16" s="71" t="str">
        <f>IFERROR(VLOOKUP($K$1,Зведено!$C$16:$AC$36,11,0),"")</f>
        <v/>
      </c>
      <c r="C16" s="71" t="s">
        <v>74</v>
      </c>
      <c r="D16" s="75" t="e">
        <f>HLOOKUP($B$16,ТехІнфо!$A$1:$P$53,9,0)</f>
        <v>#N/A</v>
      </c>
      <c r="E16" s="76" t="s">
        <v>92</v>
      </c>
      <c r="F16" s="266"/>
      <c r="G16" s="269"/>
      <c r="H16" s="257"/>
      <c r="I16" s="257"/>
      <c r="J16" s="260"/>
    </row>
    <row r="17" spans="1:11" s="1" customFormat="1" ht="16.5" customHeight="1">
      <c r="A17" s="263"/>
      <c r="B17" s="86" t="s">
        <v>106</v>
      </c>
      <c r="C17" s="71" t="s">
        <v>75</v>
      </c>
      <c r="D17" s="75" t="e">
        <f>HLOOKUP($B$16,ТехІнфо!$A$1:$P$53,12,0)</f>
        <v>#N/A</v>
      </c>
      <c r="E17" s="76" t="s">
        <v>93</v>
      </c>
      <c r="F17" s="266"/>
      <c r="G17" s="269"/>
      <c r="H17" s="257"/>
      <c r="I17" s="257"/>
      <c r="J17" s="260"/>
    </row>
    <row r="18" spans="1:11" s="1" customFormat="1" ht="16.5" customHeight="1">
      <c r="A18" s="263"/>
      <c r="B18" s="271" t="str">
        <f>IFERROR(VLOOKUP($K$1,Зведено!$C$16:$AC$36,12,0),"")</f>
        <v/>
      </c>
      <c r="C18" s="71" t="s">
        <v>76</v>
      </c>
      <c r="D18" s="75" t="e">
        <f>HLOOKUP($B$16,ТехІнфо!$A$1:$P$53,15,0)</f>
        <v>#N/A</v>
      </c>
      <c r="E18" s="76"/>
      <c r="F18" s="266"/>
      <c r="G18" s="269"/>
      <c r="H18" s="257"/>
      <c r="I18" s="257"/>
      <c r="J18" s="260"/>
    </row>
    <row r="19" spans="1:11" s="1" customFormat="1" ht="16.5" customHeight="1">
      <c r="A19" s="263"/>
      <c r="B19" s="271"/>
      <c r="C19" s="71" t="s">
        <v>77</v>
      </c>
      <c r="D19" s="75" t="s">
        <v>94</v>
      </c>
      <c r="E19" s="76" t="s">
        <v>92</v>
      </c>
      <c r="F19" s="266"/>
      <c r="G19" s="269"/>
      <c r="H19" s="257"/>
      <c r="I19" s="257"/>
      <c r="J19" s="260"/>
    </row>
    <row r="20" spans="1:11" s="1" customFormat="1" ht="16.5" customHeight="1">
      <c r="A20" s="263"/>
      <c r="B20" s="271"/>
      <c r="C20" s="71" t="s">
        <v>78</v>
      </c>
      <c r="D20" s="75" t="s">
        <v>95</v>
      </c>
      <c r="E20" s="76" t="s">
        <v>96</v>
      </c>
      <c r="F20" s="266"/>
      <c r="G20" s="269"/>
      <c r="H20" s="257"/>
      <c r="I20" s="257"/>
      <c r="J20" s="260"/>
    </row>
    <row r="21" spans="1:11" s="1" customFormat="1" ht="16.5" customHeight="1">
      <c r="A21" s="263"/>
      <c r="B21" s="271"/>
      <c r="C21" s="71" t="s">
        <v>79</v>
      </c>
      <c r="D21" s="77" t="e">
        <f>HLOOKUP($B$16,ТехІнфо!$A$1:$P$53,4,0)</f>
        <v>#N/A</v>
      </c>
      <c r="E21" s="78"/>
      <c r="F21" s="266"/>
      <c r="G21" s="269"/>
      <c r="H21" s="257"/>
      <c r="I21" s="257"/>
      <c r="J21" s="260"/>
    </row>
    <row r="22" spans="1:11" s="1" customFormat="1" ht="21" customHeight="1">
      <c r="A22" s="263"/>
      <c r="B22" s="271"/>
      <c r="C22" s="71" t="s">
        <v>80</v>
      </c>
      <c r="D22" s="75" t="str">
        <f>IF($B$16="SUN2000-40KTL-M3","640x530x270",IF($B$16="SUN2000-36KTL-M3","640x530x270",IF($B$16="SUN2000-30KTL-M3","640x530x270","525x470x262")))</f>
        <v>525x470x262</v>
      </c>
      <c r="E22" s="76" t="s">
        <v>98</v>
      </c>
      <c r="F22" s="266"/>
      <c r="G22" s="269"/>
      <c r="H22" s="257"/>
      <c r="I22" s="257"/>
      <c r="J22" s="260"/>
    </row>
    <row r="23" spans="1:11" s="1" customFormat="1" ht="16.5" customHeight="1">
      <c r="A23" s="263"/>
      <c r="B23" s="271"/>
      <c r="C23" s="71" t="s">
        <v>81</v>
      </c>
      <c r="D23" s="75">
        <f>IF($B$16="SUN2000-50KTL-M0","74",IF($B$16="SUN2000-40KTL-M3","43",IF($B$16="SUN2000-36KTL-M3","43",IF($B$16="SUN2000-30KTL-M3","43",25))))</f>
        <v>25</v>
      </c>
      <c r="E23" s="76" t="s">
        <v>97</v>
      </c>
      <c r="F23" s="266"/>
      <c r="G23" s="269"/>
      <c r="H23" s="257"/>
      <c r="I23" s="257"/>
      <c r="J23" s="260"/>
    </row>
    <row r="24" spans="1:11" s="1" customFormat="1" ht="16.5" customHeight="1">
      <c r="A24" s="263"/>
      <c r="B24" s="271"/>
      <c r="C24" s="71" t="s">
        <v>82</v>
      </c>
      <c r="D24" s="75" t="s">
        <v>107</v>
      </c>
      <c r="E24" s="76"/>
      <c r="F24" s="266"/>
      <c r="G24" s="269"/>
      <c r="H24" s="257"/>
      <c r="I24" s="257"/>
      <c r="J24" s="260"/>
    </row>
    <row r="25" spans="1:11" s="1" customFormat="1" ht="30" customHeight="1">
      <c r="A25" s="264"/>
      <c r="B25" s="272"/>
      <c r="C25" s="273" t="s">
        <v>289</v>
      </c>
      <c r="D25" s="274"/>
      <c r="E25" s="275"/>
      <c r="F25" s="267"/>
      <c r="G25" s="270"/>
      <c r="H25" s="258"/>
      <c r="I25" s="258"/>
      <c r="J25" s="261"/>
    </row>
    <row r="26" spans="1:11" s="1" customFormat="1" ht="67.5" customHeight="1">
      <c r="A26" s="60">
        <v>4</v>
      </c>
      <c r="B26" s="173" t="s">
        <v>51</v>
      </c>
      <c r="C26" s="285" t="str">
        <f>ДодатиДеталізацію!$B$3&amp;" "&amp;ДодатиДеталізацію!$C$3</f>
        <v xml:space="preserve">1*6мм2 безгалогенний гнучкий кабель, подвійна ізоляція, захист від УФ. Прокладання кабелю по покрівлях та під гіпсокартоном у гофротрубі 
Розхідні матеріали для прокладання кабелю (кліпси для гофри з дюблями, термоусадка, кабельні стяжи стійкі до ультрафіолету, тощо)
Гарантія виробника  на кабельну продукцію - 15 років. </v>
      </c>
      <c r="D26" s="286"/>
      <c r="E26" s="287"/>
      <c r="F26" s="145" t="s">
        <v>278</v>
      </c>
      <c r="G26" s="63">
        <v>1</v>
      </c>
      <c r="H26" s="64" t="e">
        <f>VLOOKUP($K$1,Зведено!$C$16:$AC$35,17,0)</f>
        <v>#N/A</v>
      </c>
      <c r="I26" s="64" t="e">
        <f t="shared" ref="I26:I37" si="1">H26*G26</f>
        <v>#N/A</v>
      </c>
      <c r="J26" s="65" t="s">
        <v>48</v>
      </c>
    </row>
    <row r="27" spans="1:11" s="1" customFormat="1" ht="17.25" customHeight="1">
      <c r="A27" s="60">
        <v>5</v>
      </c>
      <c r="B27" s="132" t="s">
        <v>12</v>
      </c>
      <c r="C27" s="288"/>
      <c r="D27" s="289"/>
      <c r="E27" s="290"/>
      <c r="F27" s="62" t="s">
        <v>13</v>
      </c>
      <c r="G27" s="63">
        <v>1</v>
      </c>
      <c r="H27" s="64" t="e">
        <f>VLOOKUP($K$1,Зведено!$C$16:$AC$35,18,0)</f>
        <v>#N/A</v>
      </c>
      <c r="I27" s="64" t="e">
        <f t="shared" si="1"/>
        <v>#N/A</v>
      </c>
      <c r="J27" s="65" t="s">
        <v>48</v>
      </c>
    </row>
    <row r="28" spans="1:11" s="1" customFormat="1" ht="66.75" customHeight="1">
      <c r="A28" s="60">
        <v>6</v>
      </c>
      <c r="B28" s="132" t="s">
        <v>122</v>
      </c>
      <c r="C28" s="304" t="str">
        <f>ДодатиДеталізацію!$B$4&amp;" "&amp;ДодатиДеталізацію!$C$4</f>
        <v xml:space="preserve">Вказати вартість кабелів ВВГнг січенням 5*10мм2, 5*16 мм2, 5*25 мм2 та 5*35 мм2. Січення для кожної СЕС буде використовуватись виходячи із її потужності. Прокладання по покрівлі в металевій гофро трубі зверху прорезиновій Д=50мм - 10м.п. Прокладання в середині операторної у декоративному пластиковому коробі - 20м.п Розхідні матеріали для прокладання кабелю (кліпси для гофри з дюблями, термоусадка, кабельні стяжи стійкі до ультрафіолету, тощо) </v>
      </c>
      <c r="D28" s="305"/>
      <c r="E28" s="306"/>
      <c r="F28" s="62" t="s">
        <v>5</v>
      </c>
      <c r="G28" s="63">
        <v>20</v>
      </c>
      <c r="H28" s="64" t="e">
        <f>VLOOKUP($K$1,Зведено!$C$16:$AC$35,19,0)/20</f>
        <v>#N/A</v>
      </c>
      <c r="I28" s="64" t="e">
        <f t="shared" si="1"/>
        <v>#N/A</v>
      </c>
      <c r="J28" s="65" t="s">
        <v>48</v>
      </c>
    </row>
    <row r="29" spans="1:11" s="1" customFormat="1" ht="261.75" customHeight="1">
      <c r="A29" s="60">
        <v>7</v>
      </c>
      <c r="B29" s="132" t="s">
        <v>47</v>
      </c>
      <c r="C29" s="304" t="str">
        <f>ДодатиДеталізацію!$B$5&amp;" "&amp;ДодатиДеталізацію!$C$5</f>
        <v xml:space="preserve">Для забезпечення максимальної антикорозійної стійкості конструктивні елементи систем закріплення ФЕМ повинні бути виготовлені з вуглецевої сталі в гарячецинковому/холодному покритті з товщиною не менше 25 мкм або з цинк-ламельним покриттям, нержавіючої сталі, анодованого алюмінієвого сплаву.
Збереження стану несучої здатності та стану покрівлі до початку виконання робіт за умови здачі обслуговуючій компанії після завершення робіт (герметичність та цілісність покриття). Січення  всіх підібраних  профілів ( не залежно від типу конструкції) повинно забезпечувати допустимі прогини для даного типу матеріалу (без зазнання критичних деформацій) з врахуванням всіх можливих навантажень. 
Системи закріплення фотоелектричних модулів повинні мати мінімально можливий вплив на дах об'єктів, Порушення цілісності покрівельних матеріалів на пласких дахах не допускаєтся. На скатних дахах (сендвіч панелей) допускається порушення цілісності покрівельного матеріалу з подальшою герметизацією отворів. Виконання кріплень повинно бути максимально надійним. 
Для баластової системи використовувати підставки під баласти товщиною не менше 5 мм та розміром на 10 см більше від розміру кожної сторони застосованого баласта. Столи баластної системи повинні зєднуватись в єдину систему для уникнення можливого зміщення при сприйнятті вітрових навантажень. </v>
      </c>
      <c r="D29" s="305"/>
      <c r="E29" s="306"/>
      <c r="F29" s="62" t="s">
        <v>10</v>
      </c>
      <c r="G29" s="79">
        <v>1</v>
      </c>
      <c r="H29" s="64" t="e">
        <f>VLOOKUP($K$1,Зведено!$C$16:$AC$35,20,0)</f>
        <v>#N/A</v>
      </c>
      <c r="I29" s="64" t="e">
        <f t="shared" si="1"/>
        <v>#N/A</v>
      </c>
      <c r="J29" s="65" t="s">
        <v>48</v>
      </c>
      <c r="K29" s="5"/>
    </row>
    <row r="30" spans="1:11" s="1" customFormat="1" ht="183.75" customHeight="1">
      <c r="A30" s="60">
        <v>8</v>
      </c>
      <c r="B30" s="132" t="s">
        <v>18</v>
      </c>
      <c r="C30" s="307" t="str">
        <f>ДодатиДеталізацію!$B$6&amp;" "&amp;ДодатиДеталізацію!$C$6</f>
        <v xml:space="preserve">Шафа електрична в комплекті 
Обовязково з врахуванням захисту можливого попадання зустрічної напруги при роботі на резервному генераторі та обліку генерованої електроенергії,  та захисту від можливого попадання генерації до загальної мережі (при аварійному відключенні), автоматичний контроль генерації з її обмеженням в разі перевищення над власним споживанням. (У разі необхідності розпломбування щита - узгодження із відповідним РЕМом чи Обленерго та інженером енергетиком по експлуатації)  
Матеріали для живлення Smart Logger 3000а:
Розетка із заземленням Schneider Electric без шторок 
Автоматичний вимикач Schneider Electric 
Кабель силовий багатожильний ПВС  </v>
      </c>
      <c r="D30" s="308"/>
      <c r="E30" s="309"/>
      <c r="F30" s="62" t="s">
        <v>3</v>
      </c>
      <c r="G30" s="63">
        <v>1</v>
      </c>
      <c r="H30" s="64" t="e">
        <f>VLOOKUP($K$1,Зведено!$C$16:$AC$35,21,0)</f>
        <v>#N/A</v>
      </c>
      <c r="I30" s="64" t="e">
        <f t="shared" si="1"/>
        <v>#N/A</v>
      </c>
      <c r="J30" s="65" t="s">
        <v>48</v>
      </c>
    </row>
    <row r="31" spans="1:11" s="1" customFormat="1" ht="41.25" customHeight="1">
      <c r="A31" s="60">
        <v>9</v>
      </c>
      <c r="B31" s="132" t="s">
        <v>53</v>
      </c>
      <c r="C31" s="307" t="str">
        <f>ДодатиДеталізацію!$B$7&amp;" "&amp;ДодатиДеталізацію!$C$7</f>
        <v xml:space="preserve">заземлювачі, оцинкований дріт,  мідний дріт 
приварка  до інших контурів, обовязкове заземлення інвертора. </v>
      </c>
      <c r="D31" s="308"/>
      <c r="E31" s="309"/>
      <c r="F31" s="62" t="s">
        <v>3</v>
      </c>
      <c r="G31" s="63">
        <v>1</v>
      </c>
      <c r="H31" s="64" t="e">
        <f>VLOOKUP($K$1,Зведено!$C$16:$AC$35,22,0)</f>
        <v>#N/A</v>
      </c>
      <c r="I31" s="64" t="e">
        <f t="shared" si="1"/>
        <v>#N/A</v>
      </c>
      <c r="J31" s="65" t="s">
        <v>48</v>
      </c>
    </row>
    <row r="32" spans="1:11" s="1" customFormat="1" ht="16.5" customHeight="1">
      <c r="A32" s="60">
        <v>10</v>
      </c>
      <c r="B32" s="132" t="s">
        <v>2</v>
      </c>
      <c r="C32" s="288"/>
      <c r="D32" s="289"/>
      <c r="E32" s="290"/>
      <c r="F32" s="62" t="s">
        <v>15</v>
      </c>
      <c r="G32" s="63">
        <v>1</v>
      </c>
      <c r="H32" s="64" t="e">
        <f>VLOOKUP($K$1,Зведено!$C$16:$AC$35,23,0)</f>
        <v>#N/A</v>
      </c>
      <c r="I32" s="64" t="e">
        <f t="shared" si="1"/>
        <v>#N/A</v>
      </c>
      <c r="J32" s="65" t="s">
        <v>48</v>
      </c>
    </row>
    <row r="33" spans="1:18" s="1" customFormat="1" ht="74.25" customHeight="1">
      <c r="A33" s="60">
        <v>11</v>
      </c>
      <c r="B33" s="132" t="s">
        <v>14</v>
      </c>
      <c r="C33" s="291" t="s">
        <v>44</v>
      </c>
      <c r="D33" s="292"/>
      <c r="E33" s="293"/>
      <c r="F33" s="62" t="s">
        <v>15</v>
      </c>
      <c r="G33" s="63">
        <v>1</v>
      </c>
      <c r="H33" s="64" t="e">
        <f>VLOOKUP($K$1,Зведено!$C$16:$AC$35,24,0)</f>
        <v>#N/A</v>
      </c>
      <c r="I33" s="64" t="e">
        <f t="shared" si="1"/>
        <v>#N/A</v>
      </c>
      <c r="J33" s="65" t="s">
        <v>48</v>
      </c>
    </row>
    <row r="34" spans="1:18" s="1" customFormat="1" ht="25.5" customHeight="1">
      <c r="A34" s="60">
        <v>12</v>
      </c>
      <c r="B34" s="132" t="s">
        <v>4</v>
      </c>
      <c r="C34" s="288"/>
      <c r="D34" s="289"/>
      <c r="E34" s="290"/>
      <c r="F34" s="62" t="s">
        <v>15</v>
      </c>
      <c r="G34" s="63">
        <v>1</v>
      </c>
      <c r="H34" s="64" t="e">
        <f>VLOOKUP($K$1,Зведено!$C$16:$AC$35,25,0)</f>
        <v>#N/A</v>
      </c>
      <c r="I34" s="64" t="e">
        <f t="shared" si="1"/>
        <v>#N/A</v>
      </c>
      <c r="J34" s="65" t="s">
        <v>48</v>
      </c>
    </row>
    <row r="35" spans="1:18" s="1" customFormat="1" ht="44.25" customHeight="1">
      <c r="A35" s="60">
        <v>13</v>
      </c>
      <c r="B35" s="132" t="s">
        <v>11</v>
      </c>
      <c r="C35" s="291" t="s">
        <v>55</v>
      </c>
      <c r="D35" s="292"/>
      <c r="E35" s="293"/>
      <c r="F35" s="62" t="s">
        <v>3</v>
      </c>
      <c r="G35" s="63">
        <v>1</v>
      </c>
      <c r="H35" s="64" t="e">
        <f>VLOOKUP($K$1,Зведено!$C$16:$AC$35,26,0)</f>
        <v>#N/A</v>
      </c>
      <c r="I35" s="64" t="e">
        <f t="shared" si="1"/>
        <v>#N/A</v>
      </c>
      <c r="J35" s="65" t="s">
        <v>48</v>
      </c>
    </row>
    <row r="36" spans="1:18" s="1" customFormat="1" ht="44.25" customHeight="1">
      <c r="A36" s="60">
        <v>14</v>
      </c>
      <c r="B36" s="80" t="s">
        <v>9</v>
      </c>
      <c r="C36" s="288"/>
      <c r="D36" s="289"/>
      <c r="E36" s="290"/>
      <c r="F36" s="62" t="s">
        <v>15</v>
      </c>
      <c r="G36" s="63">
        <v>1</v>
      </c>
      <c r="H36" s="64" t="e">
        <f>VLOOKUP($K$1,Зведено!$C$16:$AC$35,27,0)</f>
        <v>#N/A</v>
      </c>
      <c r="I36" s="64" t="e">
        <f t="shared" si="1"/>
        <v>#N/A</v>
      </c>
      <c r="J36" s="65" t="s">
        <v>48</v>
      </c>
    </row>
    <row r="37" spans="1:18" s="1" customFormat="1" ht="39.75" customHeight="1" thickBot="1">
      <c r="A37" s="60">
        <v>15</v>
      </c>
      <c r="B37" s="81" t="s">
        <v>49</v>
      </c>
      <c r="C37" s="282" t="s">
        <v>50</v>
      </c>
      <c r="D37" s="283"/>
      <c r="E37" s="284"/>
      <c r="F37" s="82" t="s">
        <v>15</v>
      </c>
      <c r="G37" s="83">
        <v>1</v>
      </c>
      <c r="H37" s="84" t="e">
        <f>VLOOKUP($K$1,Зведено!$C$16:$AC$35,28,0)</f>
        <v>#N/A</v>
      </c>
      <c r="I37" s="84" t="e">
        <f t="shared" si="1"/>
        <v>#N/A</v>
      </c>
      <c r="J37" s="85" t="s">
        <v>48</v>
      </c>
    </row>
    <row r="38" spans="1:18" ht="15.75">
      <c r="A38" s="29"/>
      <c r="B38" s="37" t="s">
        <v>54</v>
      </c>
      <c r="C38" s="30"/>
      <c r="D38" s="30"/>
      <c r="E38" s="30"/>
      <c r="F38" s="31"/>
      <c r="G38" s="30"/>
      <c r="H38" s="30"/>
      <c r="I38" s="30"/>
      <c r="J38" s="30"/>
      <c r="K38" s="30"/>
      <c r="L38" s="32"/>
      <c r="M38" s="32"/>
      <c r="N38" s="32"/>
      <c r="O38" s="32"/>
      <c r="P38" s="6"/>
      <c r="Q38" s="6"/>
      <c r="R38" s="6"/>
    </row>
    <row r="39" spans="1:18" ht="28.5" customHeight="1">
      <c r="A39" s="29"/>
      <c r="B39" s="33" t="s">
        <v>20</v>
      </c>
      <c r="C39" s="33"/>
      <c r="D39" s="33"/>
      <c r="E39" s="33"/>
      <c r="F39" s="33"/>
      <c r="G39" s="33"/>
      <c r="H39" s="33"/>
      <c r="I39" s="36" t="e">
        <f>SUM(I6:I37)</f>
        <v>#N/A</v>
      </c>
      <c r="J39" s="38" t="s">
        <v>46</v>
      </c>
      <c r="K39" s="34"/>
      <c r="L39" s="35"/>
      <c r="M39" s="35"/>
      <c r="N39" s="35"/>
      <c r="O39" s="35"/>
      <c r="P39" s="6"/>
      <c r="Q39" s="6"/>
      <c r="R39" s="6"/>
    </row>
    <row r="40" spans="1:18" ht="18">
      <c r="A40" s="6"/>
      <c r="B40" s="15" t="s">
        <v>21</v>
      </c>
      <c r="C40" s="16"/>
      <c r="D40" s="16"/>
      <c r="E40" s="16"/>
      <c r="F40" s="9"/>
      <c r="G40" s="9"/>
      <c r="H40" s="9"/>
      <c r="I40" s="9"/>
      <c r="J40" s="9"/>
      <c r="K40" s="7"/>
      <c r="L40" s="6"/>
      <c r="M40" s="6"/>
      <c r="N40" s="6"/>
      <c r="O40" s="6"/>
      <c r="P40" s="6"/>
      <c r="Q40" s="6"/>
      <c r="R40" s="6"/>
    </row>
    <row r="41" spans="1:18" ht="21.75" customHeight="1">
      <c r="A41" s="10">
        <v>1</v>
      </c>
      <c r="B41" s="312" t="s">
        <v>22</v>
      </c>
      <c r="C41" s="312"/>
      <c r="D41" s="312"/>
      <c r="E41" s="312"/>
      <c r="F41" s="312"/>
      <c r="G41" s="312"/>
      <c r="H41" s="21">
        <f>ДляДоговору!G37</f>
        <v>0</v>
      </c>
      <c r="I41" s="9" t="s">
        <v>23</v>
      </c>
      <c r="J41" s="9"/>
      <c r="K41" s="7"/>
      <c r="L41" s="22"/>
      <c r="M41" s="22"/>
      <c r="N41" s="22"/>
      <c r="O41" s="22"/>
      <c r="P41" s="6"/>
      <c r="Q41" s="6"/>
      <c r="R41" s="6"/>
    </row>
    <row r="42" spans="1:18" ht="30.75" customHeight="1">
      <c r="A42" s="10">
        <f>1+A41</f>
        <v>2</v>
      </c>
      <c r="B42" s="312" t="s">
        <v>24</v>
      </c>
      <c r="C42" s="312"/>
      <c r="D42" s="312"/>
      <c r="E42" s="312"/>
      <c r="F42" s="312"/>
      <c r="G42" s="312"/>
      <c r="H42" s="21">
        <f>ДляДоговору!G38</f>
        <v>0</v>
      </c>
      <c r="I42" s="9" t="s">
        <v>25</v>
      </c>
      <c r="J42" s="9"/>
      <c r="K42" s="7"/>
      <c r="L42" s="6"/>
      <c r="M42" s="6"/>
      <c r="N42" s="6"/>
      <c r="O42" s="6"/>
      <c r="P42" s="6"/>
      <c r="Q42" s="6"/>
      <c r="R42" s="6"/>
    </row>
    <row r="43" spans="1:18" ht="31.5" customHeight="1">
      <c r="A43" s="10">
        <f t="shared" ref="A43:A54" si="2">1+A42</f>
        <v>3</v>
      </c>
      <c r="B43" s="312" t="s">
        <v>26</v>
      </c>
      <c r="C43" s="312"/>
      <c r="D43" s="312"/>
      <c r="E43" s="312"/>
      <c r="F43" s="312"/>
      <c r="G43" s="312"/>
      <c r="H43" s="21">
        <f>ДляДоговору!G39</f>
        <v>0</v>
      </c>
      <c r="I43" s="9" t="s">
        <v>27</v>
      </c>
      <c r="J43" s="9"/>
      <c r="K43" s="7"/>
      <c r="L43" s="6"/>
      <c r="M43" s="6"/>
      <c r="N43" s="6"/>
      <c r="O43" s="6"/>
      <c r="P43" s="6"/>
      <c r="Q43" s="6"/>
    </row>
    <row r="44" spans="1:18" ht="16.5" customHeight="1">
      <c r="A44" s="10">
        <f t="shared" si="2"/>
        <v>4</v>
      </c>
      <c r="B44" s="312" t="s">
        <v>42</v>
      </c>
      <c r="C44" s="312"/>
      <c r="D44" s="312"/>
      <c r="E44" s="312"/>
      <c r="F44" s="312"/>
      <c r="G44" s="313"/>
      <c r="H44" s="21">
        <f>ДляДоговору!G40</f>
        <v>0</v>
      </c>
      <c r="I44" s="11" t="s">
        <v>248</v>
      </c>
      <c r="J44" s="11"/>
      <c r="K44" s="7"/>
      <c r="L44" s="6"/>
      <c r="M44" s="6"/>
      <c r="N44" s="6"/>
      <c r="O44" s="6"/>
      <c r="P44" s="6"/>
      <c r="Q44" s="6"/>
    </row>
    <row r="45" spans="1:18" ht="22.5" customHeight="1">
      <c r="A45" s="10">
        <f t="shared" si="2"/>
        <v>5</v>
      </c>
      <c r="B45" s="310" t="s">
        <v>28</v>
      </c>
      <c r="C45" s="310"/>
      <c r="D45" s="310"/>
      <c r="E45" s="310"/>
      <c r="F45" s="310"/>
      <c r="G45" s="311"/>
      <c r="H45" s="21">
        <f>ДляДоговору!G41</f>
        <v>0</v>
      </c>
      <c r="I45" s="11" t="s">
        <v>29</v>
      </c>
      <c r="J45" s="11"/>
      <c r="K45" s="7"/>
      <c r="L45" s="6"/>
      <c r="M45" s="6"/>
      <c r="N45" s="6"/>
      <c r="O45" s="6"/>
      <c r="P45" s="6"/>
      <c r="Q45" s="6"/>
    </row>
    <row r="46" spans="1:18" ht="21.75" customHeight="1">
      <c r="A46" s="10">
        <f t="shared" si="2"/>
        <v>6</v>
      </c>
      <c r="B46" s="312" t="s">
        <v>43</v>
      </c>
      <c r="C46" s="312"/>
      <c r="D46" s="312"/>
      <c r="E46" s="312"/>
      <c r="F46" s="312"/>
      <c r="G46" s="313"/>
      <c r="H46" s="21">
        <f>ДляДоговору!G42</f>
        <v>0</v>
      </c>
      <c r="I46" s="11" t="str">
        <f>ДляДоговору!H42</f>
        <v>днів</v>
      </c>
      <c r="J46" s="11"/>
      <c r="K46" s="7"/>
      <c r="L46" s="6"/>
      <c r="M46" s="6"/>
      <c r="N46" s="6"/>
      <c r="O46" s="6"/>
      <c r="P46" s="6"/>
      <c r="Q46" s="6"/>
    </row>
    <row r="47" spans="1:18" ht="18" customHeight="1">
      <c r="A47" s="10">
        <f t="shared" si="2"/>
        <v>7</v>
      </c>
      <c r="B47" s="310" t="s">
        <v>30</v>
      </c>
      <c r="C47" s="310"/>
      <c r="D47" s="310"/>
      <c r="E47" s="310"/>
      <c r="F47" s="310"/>
      <c r="G47" s="311"/>
      <c r="H47" s="21">
        <f>ДляДоговору!G43</f>
        <v>0</v>
      </c>
      <c r="I47" s="11" t="s">
        <v>31</v>
      </c>
      <c r="J47" s="11"/>
      <c r="K47" s="7"/>
      <c r="L47" s="6"/>
      <c r="M47" s="6"/>
      <c r="N47" s="6"/>
      <c r="O47" s="6"/>
    </row>
    <row r="48" spans="1:18" ht="15">
      <c r="A48" s="10">
        <f t="shared" si="2"/>
        <v>8</v>
      </c>
      <c r="B48" s="296" t="s">
        <v>32</v>
      </c>
      <c r="C48" s="296"/>
      <c r="D48" s="296"/>
      <c r="E48" s="296"/>
      <c r="F48" s="296"/>
      <c r="G48" s="297"/>
      <c r="H48" s="21">
        <f>ДляДоговору!G44</f>
        <v>0</v>
      </c>
      <c r="I48" s="12" t="s">
        <v>33</v>
      </c>
      <c r="J48" s="12"/>
      <c r="K48" s="7"/>
      <c r="L48" s="6"/>
      <c r="M48" s="6"/>
      <c r="N48" s="6"/>
      <c r="O48" s="6"/>
    </row>
    <row r="49" spans="1:15" ht="15">
      <c r="A49" s="10">
        <f t="shared" si="2"/>
        <v>9</v>
      </c>
      <c r="B49" s="296" t="s">
        <v>34</v>
      </c>
      <c r="C49" s="296"/>
      <c r="D49" s="296"/>
      <c r="E49" s="296"/>
      <c r="F49" s="296"/>
      <c r="G49" s="297"/>
      <c r="H49" s="21">
        <f>ДляДоговору!G45</f>
        <v>0</v>
      </c>
      <c r="I49" s="12" t="s">
        <v>35</v>
      </c>
      <c r="J49" s="12"/>
      <c r="K49" s="7"/>
      <c r="L49" s="6"/>
      <c r="M49" s="6"/>
      <c r="N49" s="6"/>
      <c r="O49" s="6"/>
    </row>
    <row r="50" spans="1:15" ht="15">
      <c r="A50" s="10">
        <f t="shared" si="2"/>
        <v>10</v>
      </c>
      <c r="B50" s="298" t="s">
        <v>36</v>
      </c>
      <c r="C50" s="298"/>
      <c r="D50" s="298"/>
      <c r="E50" s="298"/>
      <c r="F50" s="298"/>
      <c r="G50" s="299"/>
      <c r="H50" s="21">
        <f>ДляДоговору!G46</f>
        <v>0</v>
      </c>
      <c r="I50" s="12" t="s">
        <v>37</v>
      </c>
      <c r="J50" s="12"/>
      <c r="K50" s="7"/>
      <c r="L50" s="6"/>
      <c r="M50" s="6"/>
      <c r="N50" s="6"/>
      <c r="O50" s="6"/>
    </row>
    <row r="51" spans="1:15" ht="18">
      <c r="A51" s="10">
        <f t="shared" si="2"/>
        <v>11</v>
      </c>
      <c r="B51" s="13" t="s">
        <v>38</v>
      </c>
      <c r="C51" s="20" t="s">
        <v>39</v>
      </c>
      <c r="D51" s="20"/>
      <c r="E51" s="20"/>
      <c r="F51" s="20"/>
      <c r="G51" s="19"/>
      <c r="H51" s="18"/>
      <c r="I51" s="9"/>
      <c r="J51" s="9"/>
      <c r="K51" s="7"/>
      <c r="L51" s="6"/>
      <c r="M51" s="6"/>
      <c r="N51" s="6"/>
      <c r="O51" s="6"/>
    </row>
    <row r="52" spans="1:15" ht="21.75" customHeight="1">
      <c r="A52" s="10">
        <f t="shared" si="2"/>
        <v>12</v>
      </c>
      <c r="B52" s="12" t="s">
        <v>40</v>
      </c>
      <c r="C52" s="7"/>
      <c r="D52" s="7"/>
      <c r="E52" s="7"/>
      <c r="F52" s="7"/>
      <c r="G52" s="7"/>
      <c r="H52" s="7"/>
      <c r="I52" s="7"/>
      <c r="J52" s="7"/>
      <c r="K52" s="7"/>
      <c r="L52" s="6"/>
      <c r="M52" s="6"/>
      <c r="N52" s="6"/>
      <c r="O52" s="6"/>
    </row>
    <row r="53" spans="1:15" ht="15">
      <c r="A53" s="10">
        <f t="shared" si="2"/>
        <v>13</v>
      </c>
      <c r="B53" s="17" t="s">
        <v>52</v>
      </c>
      <c r="C53" s="8"/>
      <c r="D53" s="8"/>
      <c r="E53" s="8"/>
      <c r="F53" s="8"/>
      <c r="G53" s="8"/>
      <c r="H53" s="6"/>
      <c r="I53" s="8"/>
      <c r="J53" s="8"/>
      <c r="K53" s="8"/>
      <c r="L53" s="6"/>
      <c r="M53" s="6"/>
      <c r="N53" s="6"/>
      <c r="O53" s="6"/>
    </row>
    <row r="54" spans="1:15" ht="15">
      <c r="A54" s="10">
        <f t="shared" si="2"/>
        <v>14</v>
      </c>
      <c r="B54" s="14" t="s">
        <v>41</v>
      </c>
      <c r="C54" s="7"/>
      <c r="D54" s="7"/>
      <c r="E54" s="7"/>
      <c r="F54" s="7"/>
      <c r="G54" s="7"/>
      <c r="H54" s="7"/>
      <c r="I54" s="7"/>
      <c r="J54" s="7"/>
      <c r="K54" s="7"/>
    </row>
  </sheetData>
  <protectedRanges>
    <protectedRange sqref="A6:E6 A15:E25 A7:A14 A27:E27 A26 C26:E26 A32:E37 A29:A30 A31:B31 A28:B28" name="Діапазон2"/>
    <protectedRange sqref="H7:I37 I6" name="Діапазон1"/>
    <protectedRange sqref="C7:E14" name="Діапазон1_2_1"/>
    <protectedRange sqref="B7:B14" name="Діапазон2_1_1"/>
    <protectedRange sqref="B26" name="Діапазон1_1"/>
    <protectedRange sqref="B30:E30 B29 C31:E31" name="Діапазон1_2"/>
    <protectedRange sqref="C28:E29" name="Діапазон1_2_2"/>
  </protectedRanges>
  <mergeCells count="42">
    <mergeCell ref="B2:I2"/>
    <mergeCell ref="B1:I1"/>
    <mergeCell ref="C3:E3"/>
    <mergeCell ref="C4:E4"/>
    <mergeCell ref="C6:E6"/>
    <mergeCell ref="C37:E37"/>
    <mergeCell ref="J7:J14"/>
    <mergeCell ref="J15:J25"/>
    <mergeCell ref="C25:E25"/>
    <mergeCell ref="H7:H14"/>
    <mergeCell ref="I7:I14"/>
    <mergeCell ref="F15:F25"/>
    <mergeCell ref="G15:G25"/>
    <mergeCell ref="H15:H25"/>
    <mergeCell ref="C31:E31"/>
    <mergeCell ref="C33:E33"/>
    <mergeCell ref="C32:E32"/>
    <mergeCell ref="C34:E34"/>
    <mergeCell ref="C35:E35"/>
    <mergeCell ref="C36:E36"/>
    <mergeCell ref="C26:E26"/>
    <mergeCell ref="B47:G47"/>
    <mergeCell ref="B48:G48"/>
    <mergeCell ref="B49:G49"/>
    <mergeCell ref="B50:G50"/>
    <mergeCell ref="B41:G41"/>
    <mergeCell ref="B42:G42"/>
    <mergeCell ref="B43:G43"/>
    <mergeCell ref="B44:G44"/>
    <mergeCell ref="B45:G45"/>
    <mergeCell ref="B46:G46"/>
    <mergeCell ref="C27:E27"/>
    <mergeCell ref="C28:E28"/>
    <mergeCell ref="C29:E29"/>
    <mergeCell ref="C30:E30"/>
    <mergeCell ref="I15:I25"/>
    <mergeCell ref="G7:G14"/>
    <mergeCell ref="B7:B14"/>
    <mergeCell ref="A7:A14"/>
    <mergeCell ref="A15:A25"/>
    <mergeCell ref="B18:B25"/>
    <mergeCell ref="F7:F14"/>
  </mergeCells>
  <hyperlinks>
    <hyperlink ref="C51" r:id="rId1" xr:uid="{00000000-0004-0000-0600-000000000000}"/>
  </hyperlinks>
  <pageMargins left="0.25" right="0.25" top="0.75" bottom="0.75" header="0.3" footer="0.3"/>
  <pageSetup orientation="portrait" r:id="rId2"/>
  <customProperties>
    <customPr name="_pios_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ЗагальнаІнформація</vt:lpstr>
      <vt:lpstr>ТехІнфо</vt:lpstr>
      <vt:lpstr>Зведено</vt:lpstr>
      <vt:lpstr>ДодатиДеталізацію</vt:lpstr>
      <vt:lpstr>ШаблонДляАкту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Гут Віталій</cp:lastModifiedBy>
  <cp:lastPrinted>2022-02-21T12:49:06Z</cp:lastPrinted>
  <dcterms:created xsi:type="dcterms:W3CDTF">2016-12-12T15:06:22Z</dcterms:created>
  <dcterms:modified xsi:type="dcterms:W3CDTF">2025-01-08T07:22:16Z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