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omments1.xml" ContentType="application/vnd.openxmlformats-officedocument.spreadsheetml.comments+xml"/>
  <Override PartName="/xl/customProperty2.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24226"/>
  <mc:AlternateContent xmlns:mc="http://schemas.openxmlformats.org/markup-compatibility/2006">
    <mc:Choice Requires="x15">
      <x15ac:absPath xmlns:x15ac="http://schemas.microsoft.com/office/spreadsheetml/2010/11/ac" url="\\hq\fs\Document\Tender\!_Не_відбулися\Тендерні заявки\Реконструкція будівлі операторської АЗС м. Чернівці, вул. Руська, 250-Б\"/>
    </mc:Choice>
  </mc:AlternateContent>
  <xr:revisionPtr revIDLastSave="0" documentId="13_ncr:1_{FD2B8F44-FD8A-4CC9-BA2A-246C4219BD46}" xr6:coauthVersionLast="47" xr6:coauthVersionMax="47" xr10:uidLastSave="{00000000-0000-0000-0000-000000000000}"/>
  <bookViews>
    <workbookView xWindow="-120" yWindow="-120" windowWidth="29040" windowHeight="15525" tabRatio="900" xr2:uid="{00000000-000D-0000-FFFF-FFFF00000000}"/>
  </bookViews>
  <sheets>
    <sheet name="Специфікація" sheetId="7" r:id="rId1"/>
    <sheet name="Сантехніка" sheetId="17" r:id="rId2"/>
    <sheet name="Світлодіоди" sheetId="18" r:id="rId3"/>
    <sheet name="ОСН.МАТЕРІАЛИ" sheetId="3" state="hidden" r:id="rId4"/>
    <sheet name="ХМК" sheetId="16" r:id="rId5"/>
  </sheets>
  <definedNames>
    <definedName name="_xlnm._FilterDatabase" localSheetId="0" hidden="1">Специфікація!$A$20:$J$321</definedName>
    <definedName name="_xlnm.Print_Area" localSheetId="0">Специфікація!$A$15:$J$320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73" i="7" l="1"/>
  <c r="G274" i="7"/>
  <c r="G275" i="7"/>
  <c r="G276" i="7"/>
  <c r="G277" i="7"/>
  <c r="F264" i="7"/>
  <c r="F273" i="7" s="1"/>
  <c r="F265" i="7"/>
  <c r="F274" i="7" s="1"/>
  <c r="F266" i="7"/>
  <c r="F275" i="7" s="1"/>
  <c r="F267" i="7"/>
  <c r="F276" i="7" s="1"/>
  <c r="F269" i="7"/>
  <c r="F270" i="7"/>
  <c r="G203" i="7"/>
  <c r="G42" i="7"/>
  <c r="E272" i="7"/>
  <c r="E259" i="7"/>
  <c r="E206" i="7" l="1"/>
  <c r="E196" i="7"/>
  <c r="E180" i="7"/>
  <c r="I98" i="7"/>
  <c r="E179" i="7"/>
  <c r="E103" i="7"/>
  <c r="I103" i="7" s="1"/>
  <c r="I108" i="7"/>
  <c r="I107" i="7"/>
  <c r="E162" i="7"/>
  <c r="E160" i="7"/>
  <c r="G297" i="7"/>
  <c r="F29" i="18"/>
  <c r="E55" i="17"/>
  <c r="H294" i="7"/>
  <c r="I102" i="7"/>
  <c r="E188" i="7"/>
  <c r="I110" i="7"/>
  <c r="I286" i="7"/>
  <c r="E61" i="7"/>
  <c r="E246" i="7"/>
  <c r="I248" i="7"/>
  <c r="I247" i="7"/>
  <c r="I53" i="7"/>
  <c r="I181" i="7"/>
  <c r="I246" i="7" l="1"/>
  <c r="E36" i="7" l="1"/>
  <c r="I99" i="7"/>
  <c r="I190" i="7"/>
  <c r="I191" i="7"/>
  <c r="I113" i="7"/>
  <c r="E141" i="7"/>
  <c r="I106" i="7"/>
  <c r="I109" i="7"/>
  <c r="I111" i="7"/>
  <c r="I96" i="7"/>
  <c r="I97" i="7"/>
  <c r="I187" i="7"/>
  <c r="I141" i="7" l="1"/>
  <c r="I112" i="7"/>
  <c r="I104" i="7"/>
  <c r="E48" i="7" l="1"/>
  <c r="E244" i="7"/>
  <c r="I100" i="7"/>
  <c r="I101" i="7"/>
  <c r="E266" i="7"/>
  <c r="E265" i="7"/>
  <c r="E264" i="7"/>
  <c r="E263" i="7"/>
  <c r="E52" i="7"/>
  <c r="E166" i="7"/>
  <c r="I169" i="7"/>
  <c r="E152" i="7"/>
  <c r="E46" i="7"/>
  <c r="I95" i="7" l="1"/>
  <c r="E44" i="7"/>
  <c r="E138" i="7"/>
  <c r="E142" i="7"/>
  <c r="I139" i="7"/>
  <c r="I138" i="7" l="1"/>
  <c r="I140" i="7"/>
  <c r="I72" i="7" l="1"/>
  <c r="I71" i="7"/>
  <c r="E70" i="7"/>
  <c r="E161" i="7"/>
  <c r="E60" i="7"/>
  <c r="E91" i="7"/>
  <c r="E86" i="7"/>
  <c r="E88" i="7"/>
  <c r="E59" i="7"/>
  <c r="I59" i="7" s="1"/>
  <c r="E56" i="7"/>
  <c r="G56" i="7" s="1"/>
  <c r="E64" i="7" l="1"/>
  <c r="E159" i="7" l="1"/>
  <c r="E150" i="7" l="1"/>
  <c r="E146" i="7"/>
  <c r="E145" i="7"/>
  <c r="E144" i="7"/>
  <c r="E135" i="7"/>
  <c r="E132" i="7"/>
  <c r="E255" i="7"/>
  <c r="E254" i="7"/>
  <c r="E128" i="7"/>
  <c r="E45" i="7"/>
  <c r="E261" i="7"/>
  <c r="E287" i="7"/>
  <c r="E276" i="7"/>
  <c r="E126" i="7"/>
  <c r="E122" i="7"/>
  <c r="E249" i="7" l="1"/>
  <c r="I267" i="7"/>
  <c r="I232" i="7"/>
  <c r="I241" i="7"/>
  <c r="H308" i="7"/>
  <c r="F308" i="7"/>
  <c r="H307" i="7"/>
  <c r="F307" i="7"/>
  <c r="I306" i="7"/>
  <c r="H305" i="7"/>
  <c r="F305" i="7"/>
  <c r="I304" i="7"/>
  <c r="I303" i="7"/>
  <c r="I302" i="7"/>
  <c r="I301" i="7"/>
  <c r="I300" i="7"/>
  <c r="I299" i="7"/>
  <c r="I298" i="7"/>
  <c r="I297" i="7"/>
  <c r="I296" i="7"/>
  <c r="G295" i="7"/>
  <c r="I295" i="7" s="1"/>
  <c r="I291" i="7"/>
  <c r="I290" i="7"/>
  <c r="I289" i="7"/>
  <c r="I288" i="7"/>
  <c r="I287" i="7"/>
  <c r="I285" i="7"/>
  <c r="I284" i="7"/>
  <c r="I282" i="7"/>
  <c r="I281" i="7"/>
  <c r="I280" i="7"/>
  <c r="I279" i="7"/>
  <c r="E277" i="7"/>
  <c r="I276" i="7"/>
  <c r="E274" i="7"/>
  <c r="E273" i="7"/>
  <c r="G272" i="7"/>
  <c r="E270" i="7"/>
  <c r="I270" i="7" s="1"/>
  <c r="E269" i="7"/>
  <c r="I269" i="7" s="1"/>
  <c r="E268" i="7"/>
  <c r="I266" i="7"/>
  <c r="I265" i="7"/>
  <c r="F263" i="7"/>
  <c r="F268" i="7" s="1"/>
  <c r="I261" i="7"/>
  <c r="E260" i="7"/>
  <c r="I260" i="7" s="1"/>
  <c r="E258" i="7"/>
  <c r="I257" i="7"/>
  <c r="I255" i="7"/>
  <c r="I254" i="7"/>
  <c r="E253" i="7"/>
  <c r="I252" i="7"/>
  <c r="I250" i="7"/>
  <c r="I245" i="7"/>
  <c r="I244" i="7"/>
  <c r="I231" i="7"/>
  <c r="I235" i="7"/>
  <c r="I240" i="7"/>
  <c r="I239" i="7"/>
  <c r="I238" i="7"/>
  <c r="I237" i="7"/>
  <c r="I236" i="7"/>
  <c r="I234" i="7"/>
  <c r="I233" i="7"/>
  <c r="I228" i="7"/>
  <c r="I227" i="7"/>
  <c r="I226" i="7"/>
  <c r="I225" i="7"/>
  <c r="I224" i="7"/>
  <c r="I223" i="7"/>
  <c r="I222" i="7"/>
  <c r="I221" i="7"/>
  <c r="I220" i="7"/>
  <c r="I219" i="7"/>
  <c r="I218" i="7"/>
  <c r="I217" i="7"/>
  <c r="E216" i="7"/>
  <c r="I216" i="7" s="1"/>
  <c r="I215" i="7"/>
  <c r="I212" i="7"/>
  <c r="I211" i="7"/>
  <c r="I209" i="7"/>
  <c r="I208" i="7"/>
  <c r="I207" i="7"/>
  <c r="I206" i="7"/>
  <c r="I205" i="7"/>
  <c r="I204" i="7"/>
  <c r="I203" i="7"/>
  <c r="I201" i="7"/>
  <c r="I200" i="7"/>
  <c r="I198" i="7"/>
  <c r="I197" i="7"/>
  <c r="I196" i="7"/>
  <c r="I194" i="7"/>
  <c r="I193" i="7"/>
  <c r="I192" i="7"/>
  <c r="I189" i="7"/>
  <c r="I188" i="7"/>
  <c r="I186" i="7"/>
  <c r="I185" i="7"/>
  <c r="I184" i="7"/>
  <c r="I183" i="7"/>
  <c r="I182" i="7"/>
  <c r="I180" i="7"/>
  <c r="I179" i="7"/>
  <c r="I178" i="7"/>
  <c r="I177" i="7"/>
  <c r="I176" i="7"/>
  <c r="I175" i="7"/>
  <c r="I174" i="7"/>
  <c r="I173" i="7"/>
  <c r="I172" i="7"/>
  <c r="I171" i="7"/>
  <c r="I170" i="7"/>
  <c r="I168" i="7"/>
  <c r="I167" i="7"/>
  <c r="I166" i="7"/>
  <c r="I165" i="7"/>
  <c r="I164" i="7"/>
  <c r="I163" i="7"/>
  <c r="I162" i="7"/>
  <c r="I161" i="7"/>
  <c r="I160" i="7"/>
  <c r="I159" i="7"/>
  <c r="I158" i="7"/>
  <c r="I157" i="7"/>
  <c r="I155" i="7"/>
  <c r="I154" i="7"/>
  <c r="I153" i="7"/>
  <c r="I152" i="7"/>
  <c r="I151" i="7"/>
  <c r="I150" i="7"/>
  <c r="I149" i="7"/>
  <c r="I148" i="7"/>
  <c r="I147" i="7"/>
  <c r="I146" i="7"/>
  <c r="I145" i="7"/>
  <c r="I144" i="7"/>
  <c r="I142" i="7"/>
  <c r="I137" i="7"/>
  <c r="I136" i="7"/>
  <c r="I135" i="7"/>
  <c r="I134" i="7"/>
  <c r="I133" i="7"/>
  <c r="I132" i="7"/>
  <c r="I131" i="7"/>
  <c r="I130" i="7"/>
  <c r="I129" i="7"/>
  <c r="I128" i="7"/>
  <c r="I127" i="7"/>
  <c r="I126" i="7"/>
  <c r="I125" i="7"/>
  <c r="I124" i="7"/>
  <c r="I123" i="7"/>
  <c r="I122" i="7"/>
  <c r="I119" i="7"/>
  <c r="I118" i="7"/>
  <c r="I117" i="7"/>
  <c r="I115" i="7"/>
  <c r="I114" i="7"/>
  <c r="E92" i="7"/>
  <c r="I93" i="7" s="1"/>
  <c r="I91" i="7"/>
  <c r="I90" i="7"/>
  <c r="I89" i="7"/>
  <c r="I88" i="7"/>
  <c r="I87" i="7"/>
  <c r="I86" i="7"/>
  <c r="I85" i="7"/>
  <c r="I84" i="7"/>
  <c r="I83" i="7"/>
  <c r="I82" i="7"/>
  <c r="I81" i="7"/>
  <c r="I80" i="7"/>
  <c r="I79" i="7"/>
  <c r="I78" i="7"/>
  <c r="I77" i="7"/>
  <c r="I76" i="7"/>
  <c r="I75" i="7"/>
  <c r="I74" i="7"/>
  <c r="I73" i="7"/>
  <c r="I70" i="7"/>
  <c r="I69" i="7"/>
  <c r="I68" i="7"/>
  <c r="I67" i="7"/>
  <c r="I65" i="7"/>
  <c r="I64" i="7"/>
  <c r="I63" i="7"/>
  <c r="I62" i="7"/>
  <c r="I61" i="7"/>
  <c r="I60" i="7"/>
  <c r="I58" i="7"/>
  <c r="I57" i="7"/>
  <c r="I56" i="7"/>
  <c r="E55" i="7"/>
  <c r="I55" i="7" s="1"/>
  <c r="I52" i="7"/>
  <c r="I51" i="7"/>
  <c r="I50" i="7"/>
  <c r="I49" i="7"/>
  <c r="I48" i="7"/>
  <c r="I47" i="7"/>
  <c r="I46" i="7"/>
  <c r="I45" i="7"/>
  <c r="I44" i="7"/>
  <c r="I43" i="7"/>
  <c r="I42" i="7"/>
  <c r="I41" i="7"/>
  <c r="I40" i="7"/>
  <c r="I38" i="7"/>
  <c r="I37" i="7"/>
  <c r="I36" i="7"/>
  <c r="I35" i="7"/>
  <c r="I34" i="7"/>
  <c r="I33" i="7"/>
  <c r="I32" i="7"/>
  <c r="I31" i="7"/>
  <c r="I30" i="7"/>
  <c r="I29" i="7"/>
  <c r="I28" i="7"/>
  <c r="I27" i="7"/>
  <c r="I26" i="7"/>
  <c r="I25" i="7"/>
  <c r="I24" i="7"/>
  <c r="I23" i="7"/>
  <c r="I268" i="7" l="1"/>
  <c r="F277" i="7"/>
  <c r="I105" i="7"/>
  <c r="I121" i="7"/>
  <c r="I230" i="7"/>
  <c r="I214" i="7"/>
  <c r="I307" i="7"/>
  <c r="I92" i="7"/>
  <c r="I66" i="7" s="1"/>
  <c r="I278" i="7"/>
  <c r="I305" i="7"/>
  <c r="I264" i="7"/>
  <c r="I308" i="7"/>
  <c r="E275" i="7"/>
  <c r="I275" i="7" s="1"/>
  <c r="I210" i="7"/>
  <c r="I195" i="7"/>
  <c r="I258" i="7"/>
  <c r="I202" i="7"/>
  <c r="I249" i="7"/>
  <c r="I243" i="7" s="1"/>
  <c r="I277" i="7"/>
  <c r="I199" i="7"/>
  <c r="I259" i="7"/>
  <c r="I274" i="7"/>
  <c r="I116" i="7"/>
  <c r="I253" i="7"/>
  <c r="I251" i="7" s="1"/>
  <c r="I273" i="7"/>
  <c r="I263" i="7"/>
  <c r="F272" i="7"/>
  <c r="I272" i="7" s="1"/>
  <c r="I143" i="7"/>
  <c r="I283" i="7"/>
  <c r="I156" i="7"/>
  <c r="I22" i="7"/>
  <c r="I54" i="7"/>
  <c r="I39" i="7" s="1"/>
  <c r="E309" i="7" l="1"/>
  <c r="I256" i="7"/>
  <c r="H256" i="7" s="1"/>
  <c r="I262" i="7"/>
  <c r="H262" i="7" s="1"/>
  <c r="I271" i="7"/>
  <c r="H271" i="7" s="1"/>
  <c r="D27" i="18" l="1"/>
  <c r="F27" i="18" s="1"/>
  <c r="D26" i="18"/>
  <c r="F26" i="18" s="1"/>
  <c r="F24" i="18"/>
  <c r="F23" i="18"/>
  <c r="F21" i="18"/>
  <c r="F20" i="18"/>
  <c r="F19" i="18"/>
  <c r="F18" i="18"/>
  <c r="F17" i="18"/>
  <c r="F16" i="18"/>
  <c r="F15" i="18"/>
  <c r="F14" i="18"/>
  <c r="F13" i="18"/>
  <c r="F12" i="18"/>
  <c r="F11" i="18"/>
  <c r="F10" i="18"/>
  <c r="F9" i="18"/>
  <c r="F8" i="18"/>
  <c r="F7" i="18"/>
  <c r="F6" i="18"/>
  <c r="F5" i="18"/>
  <c r="E28" i="18" l="1"/>
  <c r="F28" i="18" s="1"/>
  <c r="G294" i="7" s="1"/>
  <c r="I294" i="7" s="1"/>
  <c r="F53" i="17" l="1"/>
  <c r="F51" i="17"/>
  <c r="F49" i="17"/>
  <c r="F47" i="17"/>
  <c r="F45" i="17"/>
  <c r="F44" i="17"/>
  <c r="D43" i="17"/>
  <c r="F43" i="17" s="1"/>
  <c r="F42" i="17"/>
  <c r="F41" i="17"/>
  <c r="F40" i="17"/>
  <c r="F39" i="17"/>
  <c r="D38" i="17"/>
  <c r="F38" i="17" s="1"/>
  <c r="D37" i="17"/>
  <c r="F37" i="17" s="1"/>
  <c r="D36" i="17"/>
  <c r="F36" i="17" s="1"/>
  <c r="D35" i="17"/>
  <c r="F35" i="17" s="1"/>
  <c r="D34" i="17"/>
  <c r="F34" i="17" s="1"/>
  <c r="F33" i="17"/>
  <c r="F32" i="17"/>
  <c r="F31" i="17"/>
  <c r="D30" i="17"/>
  <c r="F30" i="17" s="1"/>
  <c r="D29" i="17"/>
  <c r="F29" i="17" s="1"/>
  <c r="D28" i="17"/>
  <c r="F28" i="17" s="1"/>
  <c r="D27" i="17"/>
  <c r="F27" i="17" s="1"/>
  <c r="F26" i="17"/>
  <c r="F25" i="17"/>
  <c r="F24" i="17"/>
  <c r="F23" i="17"/>
  <c r="D22" i="17"/>
  <c r="F22" i="17" s="1"/>
  <c r="D21" i="17"/>
  <c r="F21" i="17" s="1"/>
  <c r="D20" i="17"/>
  <c r="F20" i="17" s="1"/>
  <c r="D19" i="17"/>
  <c r="F19" i="17" s="1"/>
  <c r="D18" i="17"/>
  <c r="F18" i="17" s="1"/>
  <c r="D17" i="17"/>
  <c r="F17" i="17" s="1"/>
  <c r="D16" i="17"/>
  <c r="F16" i="17" s="1"/>
  <c r="F15" i="17"/>
  <c r="F14" i="17"/>
  <c r="F11" i="17"/>
  <c r="F10" i="17"/>
  <c r="F9" i="17"/>
  <c r="F8" i="17"/>
  <c r="F7" i="17"/>
  <c r="F6" i="17"/>
  <c r="D5" i="17"/>
  <c r="F5" i="17" s="1"/>
  <c r="D4" i="17"/>
  <c r="F4" i="17" s="1"/>
  <c r="G293" i="7" l="1"/>
  <c r="F309" i="7" s="1"/>
  <c r="E54" i="17" l="1"/>
  <c r="F54" i="17" s="1"/>
  <c r="H293" i="7" s="1"/>
  <c r="G309" i="7" s="1"/>
  <c r="H309" i="7" s="1"/>
  <c r="I293" i="7" l="1"/>
  <c r="I292" i="7" s="1"/>
  <c r="H319" i="7" s="1"/>
  <c r="A311" i="7" s="1"/>
  <c r="G24" i="16"/>
  <c r="G23" i="16"/>
  <c r="G22" i="16"/>
  <c r="G21" i="16"/>
  <c r="G20" i="16"/>
  <c r="G19" i="16"/>
  <c r="G17" i="16"/>
  <c r="G12" i="16"/>
  <c r="G11" i="16"/>
  <c r="G10" i="16"/>
  <c r="G9" i="16"/>
  <c r="G7" i="16"/>
  <c r="G5" i="16"/>
  <c r="I2" i="16"/>
  <c r="F18" i="16" s="1"/>
  <c r="G18" i="16" s="1"/>
  <c r="I310" i="7" l="1"/>
  <c r="G8" i="16"/>
  <c r="F4" i="16"/>
  <c r="G4" i="16" s="1"/>
  <c r="F16" i="16"/>
  <c r="G16" i="16" s="1"/>
  <c r="F6" i="16"/>
  <c r="G6" i="16" s="1"/>
  <c r="G15" i="16" l="1"/>
  <c r="G25" i="16" s="1"/>
  <c r="H20" i="16" a="1"/>
  <c r="H20" i="16" s="1"/>
  <c r="H8" i="16" a="1"/>
  <c r="H8" i="16" s="1"/>
  <c r="G3" i="16"/>
  <c r="G13" i="16" s="1"/>
  <c r="G9" i="3" l="1"/>
  <c r="E9" i="3" s="1"/>
  <c r="G8" i="3"/>
  <c r="E8" i="3" s="1"/>
  <c r="G17" i="3"/>
  <c r="E17" i="3" s="1"/>
  <c r="G11" i="3"/>
  <c r="E11" i="3" s="1"/>
  <c r="G10" i="3"/>
  <c r="E10" i="3" s="1"/>
  <c r="F55" i="3"/>
  <c r="E13" i="3"/>
  <c r="E14" i="3"/>
  <c r="G41" i="3"/>
  <c r="F41" i="3" s="1"/>
  <c r="E41" i="3" s="1"/>
  <c r="E15" i="3"/>
  <c r="E16" i="3"/>
  <c r="G42" i="3"/>
  <c r="F42" i="3" s="1"/>
  <c r="E42" i="3" s="1"/>
  <c r="G40" i="3"/>
  <c r="F40" i="3" s="1"/>
  <c r="E40" i="3" s="1"/>
  <c r="E18" i="3"/>
  <c r="F52" i="3"/>
  <c r="E52" i="3" s="1"/>
  <c r="F53" i="3"/>
  <c r="E53" i="3" s="1"/>
  <c r="F51" i="3"/>
  <c r="E51" i="3" s="1"/>
  <c r="E50" i="3"/>
  <c r="E48" i="3"/>
  <c r="F47" i="3"/>
  <c r="E47" i="3" s="1"/>
  <c r="E49" i="3"/>
  <c r="F39" i="3"/>
  <c r="E39" i="3" s="1"/>
  <c r="F43" i="3"/>
  <c r="E43" i="3" s="1"/>
  <c r="F44" i="3"/>
  <c r="E44" i="3" s="1"/>
  <c r="F45" i="3"/>
  <c r="E45" i="3" s="1"/>
  <c r="F46" i="3"/>
  <c r="E46" i="3" s="1"/>
  <c r="F37" i="3"/>
  <c r="E37" i="3" s="1"/>
  <c r="F38" i="3"/>
  <c r="E38" i="3" s="1"/>
  <c r="F35" i="3"/>
  <c r="E35" i="3" s="1"/>
  <c r="F36" i="3"/>
  <c r="E36" i="3" s="1"/>
  <c r="F25" i="3"/>
  <c r="E25" i="3" s="1"/>
  <c r="K25" i="3" s="1"/>
  <c r="F26" i="3"/>
  <c r="E26" i="3" s="1"/>
  <c r="K26" i="3" s="1"/>
  <c r="F27" i="3"/>
  <c r="E27" i="3" s="1"/>
  <c r="K27" i="3" s="1"/>
  <c r="F28" i="3"/>
  <c r="E28" i="3" s="1"/>
  <c r="K28" i="3" s="1"/>
  <c r="F29" i="3"/>
  <c r="E29" i="3" s="1"/>
  <c r="K29" i="3" s="1"/>
  <c r="F30" i="3"/>
  <c r="E30" i="3" s="1"/>
  <c r="K30" i="3" s="1"/>
  <c r="F31" i="3"/>
  <c r="E31" i="3" s="1"/>
  <c r="K31" i="3" s="1"/>
  <c r="F32" i="3"/>
  <c r="E32" i="3" s="1"/>
  <c r="K32" i="3" s="1"/>
  <c r="F33" i="3"/>
  <c r="E33" i="3" s="1"/>
  <c r="K33" i="3" s="1"/>
  <c r="F34" i="3"/>
  <c r="E34" i="3" s="1"/>
  <c r="K34" i="3" s="1"/>
  <c r="F24" i="3"/>
  <c r="E24" i="3" s="1"/>
  <c r="K24" i="3" s="1"/>
  <c r="E23" i="3"/>
  <c r="E19"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Купранець Р.В.</author>
    <author/>
  </authors>
  <commentList>
    <comment ref="H31" authorId="0" shapeId="0" xr:uid="{00000000-0006-0000-0000-000001000000}">
      <text>
        <r>
          <rPr>
            <b/>
            <sz val="9"/>
            <color indexed="81"/>
            <rFont val="Tahoma"/>
            <family val="2"/>
            <charset val="204"/>
          </rPr>
          <t>Купранець Р.В.:</t>
        </r>
        <r>
          <rPr>
            <sz val="9"/>
            <color indexed="81"/>
            <rFont val="Tahoma"/>
            <family val="2"/>
            <charset val="204"/>
          </rPr>
          <t xml:space="preserve">
Оформлення документів та договору за зрізку дерев</t>
        </r>
      </text>
    </comment>
    <comment ref="H180" authorId="1" shapeId="0" xr:uid="{00000000-0006-0000-0000-000002000000}">
      <text>
        <r>
          <rPr>
            <sz val="10"/>
            <color rgb="FF000000"/>
            <rFont val="Calibri"/>
            <family val="2"/>
            <scheme val="minor"/>
          </rPr>
          <t xml:space="preserve">Rsotnyk:
 постачання + кріпильні елементи
</t>
        </r>
      </text>
    </comment>
    <comment ref="F183" authorId="1" shapeId="0" xr:uid="{00000000-0006-0000-0000-000003000000}">
      <text>
        <r>
          <rPr>
            <sz val="10"/>
            <color rgb="FF000000"/>
            <rFont val="Calibri"/>
            <family val="2"/>
            <scheme val="minor"/>
          </rPr>
          <t xml:space="preserve">Купранець Р.В.:
Випробування щита
</t>
        </r>
      </text>
    </comment>
    <comment ref="H183" authorId="1" shapeId="0" xr:uid="{00000000-0006-0000-0000-000004000000}">
      <text>
        <r>
          <rPr>
            <sz val="10"/>
            <color rgb="FF000000"/>
            <rFont val="Calibri"/>
            <family val="2"/>
            <scheme val="minor"/>
          </rPr>
          <t xml:space="preserve">Купранець Р.В.:
Додаткова шина з автоматом для подачі напруги на щит операторної АГЗП при потребі зміни проекту
</t>
        </r>
      </text>
    </comment>
  </commentList>
</comments>
</file>

<file path=xl/sharedStrings.xml><?xml version="1.0" encoding="utf-8"?>
<sst xmlns="http://schemas.openxmlformats.org/spreadsheetml/2006/main" count="1675" uniqueCount="1074">
  <si>
    <t>мп</t>
  </si>
  <si>
    <t>т</t>
  </si>
  <si>
    <t>комп</t>
  </si>
  <si>
    <t>Назва обладнання</t>
  </si>
  <si>
    <t>Од. вим.</t>
  </si>
  <si>
    <t>9</t>
  </si>
  <si>
    <t>м3</t>
  </si>
  <si>
    <t>ЦІНИ КОНСТАНТИ З ПДВ</t>
  </si>
  <si>
    <t>САМ</t>
  </si>
  <si>
    <t>ТРАНСПОРТ</t>
  </si>
  <si>
    <t>М3</t>
  </si>
  <si>
    <t>ТОНА</t>
  </si>
  <si>
    <t>арматура А3(ВІД 8 ДО 16)</t>
  </si>
  <si>
    <t>ЦЕМЕНТ МАРКА 400(М)</t>
  </si>
  <si>
    <t>КГ</t>
  </si>
  <si>
    <t>ЗАКЛАДНІ ДЕТАЛІ</t>
  </si>
  <si>
    <t>м.п.</t>
  </si>
  <si>
    <t>2.2</t>
  </si>
  <si>
    <t>шт.</t>
  </si>
  <si>
    <t>ПІСОК(БУДІВЕЛЬНИЙ)</t>
  </si>
  <si>
    <t>СУПІСЬ МІСЦЕВА</t>
  </si>
  <si>
    <t>№ п/п</t>
  </si>
  <si>
    <t>м2</t>
  </si>
  <si>
    <t>3.1</t>
  </si>
  <si>
    <t>3.2</t>
  </si>
  <si>
    <t>2</t>
  </si>
  <si>
    <t>3</t>
  </si>
  <si>
    <t>4</t>
  </si>
  <si>
    <t>5</t>
  </si>
  <si>
    <t>6</t>
  </si>
  <si>
    <t>Одиниця виміру</t>
  </si>
  <si>
    <t>Кількість</t>
  </si>
  <si>
    <t>1.2</t>
  </si>
  <si>
    <t>шт</t>
  </si>
  <si>
    <t>2.1</t>
  </si>
  <si>
    <t>Основні будівельно-технічні показники</t>
  </si>
  <si>
    <t>Найменування робіт</t>
  </si>
  <si>
    <t>ВСЬОГО</t>
  </si>
  <si>
    <t>ВІДСІВ(сіяний)</t>
  </si>
  <si>
    <t>ФЛ10.24-2</t>
  </si>
  <si>
    <t xml:space="preserve">ФЛ10.12-2 </t>
  </si>
  <si>
    <t xml:space="preserve">ФЛ10.8-2 </t>
  </si>
  <si>
    <t xml:space="preserve">ФЛ8.24-2 </t>
  </si>
  <si>
    <t xml:space="preserve">ФЛ8.12-2 </t>
  </si>
  <si>
    <t xml:space="preserve">ФБС24.4.6 </t>
  </si>
  <si>
    <t xml:space="preserve">ФБС12.4.6 </t>
  </si>
  <si>
    <t xml:space="preserve">ФБС9.4.6 </t>
  </si>
  <si>
    <t xml:space="preserve">ФБС12.4.3 </t>
  </si>
  <si>
    <t xml:space="preserve">ФБС24.3.6  </t>
  </si>
  <si>
    <t xml:space="preserve">ФБС9.3.6 </t>
  </si>
  <si>
    <t>об'єм</t>
  </si>
  <si>
    <t>м3.</t>
  </si>
  <si>
    <t>К-ть залізобет</t>
  </si>
  <si>
    <t>Сума</t>
  </si>
  <si>
    <t>з.б. плита П90. 15-8А IIIвТ</t>
  </si>
  <si>
    <t>з.б. плита П90. 12-8А IIIвТ</t>
  </si>
  <si>
    <t xml:space="preserve">2ПБ13-1п </t>
  </si>
  <si>
    <t xml:space="preserve">2ПБ16-2п </t>
  </si>
  <si>
    <t xml:space="preserve">5ПГ26-40  </t>
  </si>
  <si>
    <t xml:space="preserve">3ПБ34-4п </t>
  </si>
  <si>
    <t>2ПБ22-3п</t>
  </si>
  <si>
    <t>Праймер</t>
  </si>
  <si>
    <t>20 л</t>
  </si>
  <si>
    <t>1м2</t>
  </si>
  <si>
    <t>Хеластоплей П верхній</t>
  </si>
  <si>
    <t>Хеластоплей В нижній</t>
  </si>
  <si>
    <t>Ютафол</t>
  </si>
  <si>
    <t>компл.</t>
  </si>
  <si>
    <t>Інші витрати</t>
  </si>
  <si>
    <t>Транспортні витрати</t>
  </si>
  <si>
    <t>послуга</t>
  </si>
  <si>
    <t xml:space="preserve"> шт.</t>
  </si>
  <si>
    <t>міс</t>
  </si>
  <si>
    <t>Перебазування будівельної техніки</t>
  </si>
  <si>
    <t>1.1</t>
  </si>
  <si>
    <t>1.3</t>
  </si>
  <si>
    <t>Влаштування асфальтобетонного покриття АСГ.Кр.П.А.НП.І.БНД 90/130-ДСТУ Б В.2.7.-119-2011. Асфальтобетон 10см.</t>
  </si>
  <si>
    <t>Оцінюються ризики та матеріальні видатки</t>
  </si>
  <si>
    <t>ЩЕБІНЬ20-40</t>
  </si>
  <si>
    <t>ЩЕБІНЬ5-20</t>
  </si>
  <si>
    <t>Завод Універсал 0563757810</t>
  </si>
  <si>
    <t>З/Б колодязі</t>
  </si>
  <si>
    <t>кришка</t>
  </si>
  <si>
    <t xml:space="preserve">днище </t>
  </si>
  <si>
    <t>кільце</t>
  </si>
  <si>
    <t>1м</t>
  </si>
  <si>
    <t>1,5м</t>
  </si>
  <si>
    <t>2м</t>
  </si>
  <si>
    <t xml:space="preserve">2ПБ19-3п </t>
  </si>
  <si>
    <t>Мін вата izovat 135кг/м3-200 мм</t>
  </si>
  <si>
    <t>Мін вата izovat 160кг/м3-60 мм</t>
  </si>
  <si>
    <t>3ПБ21-6п</t>
  </si>
  <si>
    <t>БЕТОН М100</t>
  </si>
  <si>
    <t>БЕТОН М200</t>
  </si>
  <si>
    <t>БЕТОН М300</t>
  </si>
  <si>
    <t>Курси валют</t>
  </si>
  <si>
    <t>Евро</t>
  </si>
  <si>
    <t>Долар</t>
  </si>
  <si>
    <t>Рубль</t>
  </si>
  <si>
    <t>мембрана ПВХ (євро)</t>
  </si>
  <si>
    <t>БЕТОН М250</t>
  </si>
  <si>
    <t>ЧАО Запорожское карьероуправление</t>
  </si>
  <si>
    <t>(061) 223 75 89</t>
  </si>
  <si>
    <t>шлак</t>
  </si>
  <si>
    <t>1,42т/м3</t>
  </si>
  <si>
    <t>1,38т/м3</t>
  </si>
  <si>
    <t>Бетон Градоліт</t>
  </si>
  <si>
    <t>Запорожбетонсервіс</t>
  </si>
  <si>
    <t>Річпорт</t>
  </si>
  <si>
    <t>1,35т/м3</t>
  </si>
  <si>
    <t>1,2т/м3</t>
  </si>
  <si>
    <t>1</t>
  </si>
  <si>
    <t>7</t>
  </si>
  <si>
    <t>8</t>
  </si>
  <si>
    <t>м</t>
  </si>
  <si>
    <t>ПРИМІТКИ ЗАМОВНИКА</t>
  </si>
  <si>
    <t xml:space="preserve">Відповідальність Підрядника </t>
  </si>
  <si>
    <t>Відповідальність Підрядника</t>
  </si>
  <si>
    <t>Тимчасове водопостачання</t>
  </si>
  <si>
    <t>Виконання та погодження проекту виконання робіт та тимчасової схеми ОДР.</t>
  </si>
  <si>
    <t>3.4</t>
  </si>
  <si>
    <t>8.1</t>
  </si>
  <si>
    <t>Дорожне покриття з ФЕМ (улаштування цементно-піщаний шар +плитка ФЕМ +просипання швів)</t>
  </si>
  <si>
    <t>Ведення будівництва  (в тому числі і взаємовідносини з місцевими контролюючими органами для забезпечення безперервності робіт)</t>
  </si>
  <si>
    <t>Дорожне покриття з ФЕМ (цементно-піщаний (відсів) шар 4см) 150кг портландцементу на 1м3</t>
  </si>
  <si>
    <t xml:space="preserve">Встановлення контейнера для сміття  </t>
  </si>
  <si>
    <t>за необхідності додаткове встановлення</t>
  </si>
  <si>
    <t>Основа щебінь 20-40 -120мм</t>
  </si>
  <si>
    <t>На будівництво:</t>
  </si>
  <si>
    <t>Влаштування асфальтобетонного покриття АСГ.Др.Щ.А.НП.І.БНД 60/90-ДСТУ Б В.2.7.-119-2011. Асфальтобетон 6см.</t>
  </si>
  <si>
    <t>Влаштування горизонтальної гідроізоляції два шари гідроізолу на бітумній мастиці</t>
  </si>
  <si>
    <t>Влаштування вертикальної гідроізоляції два шари гідроізолу на бітумній мастиці</t>
  </si>
  <si>
    <t>РОБОТИ ТА ОБЛАДНАННЯ З ДЕТАЛЬНИМИ ОКРЕМИМИ ПІДРАХУНКАМИ</t>
  </si>
  <si>
    <t>м.п</t>
  </si>
  <si>
    <t>днів (не менше 10 календарних днів)</t>
  </si>
  <si>
    <t>4. Гарантійний термін на виконані роботи</t>
  </si>
  <si>
    <t>ЗДАЧА ОБ'ЄКТУ В ЕКСПЛУАТАЦІЮ (обміри+виконавча ділянки+ висновки+участь в комісіях+ документи на сертифікат.</t>
  </si>
  <si>
    <t>Ціна роботи за одиницю, грн з ПДВ</t>
  </si>
  <si>
    <t>Матеріальна складова на одиницю, грн з ПДВ</t>
  </si>
  <si>
    <t>Складова інших витрат на одиницю, грн з ПДВ</t>
  </si>
  <si>
    <t>Вартість, грн з ПДВ</t>
  </si>
  <si>
    <t>Договірна ціна</t>
  </si>
  <si>
    <t>грн з ПДВ</t>
  </si>
  <si>
    <t xml:space="preserve"> м</t>
  </si>
  <si>
    <t xml:space="preserve"> АТ "КОНЦЕРН ГАЛНАФТОГАЗ"</t>
  </si>
  <si>
    <t>Код ЄДРПОУ: 31729918</t>
  </si>
  <si>
    <t xml:space="preserve">№ рахунку IBAN: UA883808050000000026008438229 </t>
  </si>
  <si>
    <t>ПАТ "РАЙФФАЙЗЕН БАНК АВАЛЬ" м. Київ</t>
  </si>
  <si>
    <t>МФО: 380805</t>
  </si>
  <si>
    <t>Інд. № 317299113060</t>
  </si>
  <si>
    <t>роки (не менше трьох років)</t>
  </si>
  <si>
    <t>Інша важлива інформація:</t>
  </si>
  <si>
    <t>Представник за довіреністю</t>
  </si>
  <si>
    <t xml:space="preserve">Юр. адреса: 82660, Львівська обл., Стрийський р-н, смт. Славське, </t>
  </si>
  <si>
    <t>вул. Франка Івана, буд. 14А</t>
  </si>
  <si>
    <t>Замовник: АТ "КОНЦЕРН ГАЛНАФТОГАЗ"</t>
  </si>
  <si>
    <t>Геодезичне знімання після проведення будівельно-монтажних робіт ліцензованою організацією, та погодження знімання.</t>
  </si>
  <si>
    <t xml:space="preserve">Дорожне покриття з ФЕМ 
(посипка піском 3см+плівка) </t>
  </si>
  <si>
    <t>Навантаження, вивіз та утилізація грунту!
Перевезення до 15км. Включено утилізацію!</t>
  </si>
  <si>
    <t>3.3</t>
  </si>
  <si>
    <t>3.5</t>
  </si>
  <si>
    <t>Вертикальне планування чорнове. 
Механізоване планування території перед влаштуванням дорожного одягу.</t>
  </si>
  <si>
    <t>Примітки:</t>
  </si>
  <si>
    <t>звірка</t>
  </si>
  <si>
    <t xml:space="preserve">3. Термін виконання замовлення </t>
  </si>
  <si>
    <t>Тимчасове огородження території 
(Влаштування, утримання та демонтаж)</t>
  </si>
  <si>
    <t>Відповідальність Підрядника
Окреме погоження
Замовника
Спеціалізований підрядник</t>
  </si>
  <si>
    <t xml:space="preserve">Відповідальність Підрядника
Окреме погоження
Замовника
Спеціалізований підрядник </t>
  </si>
  <si>
    <t>маш.год.</t>
  </si>
  <si>
    <t>т.</t>
  </si>
  <si>
    <t xml:space="preserve"> м3</t>
  </si>
  <si>
    <t>Виклик представників мереж.
Відключення КЛ-0,4кв після вузла обліку.</t>
  </si>
  <si>
    <t>Демонтаж віконних конструкцій</t>
  </si>
  <si>
    <t>Демонтаж обшивки операторної з композиту. Переміщення у відвал.</t>
  </si>
  <si>
    <t>Демонтаж вентиляційного обладнання</t>
  </si>
  <si>
    <t>Демонтаж навісних стелажів та рекламних елементів</t>
  </si>
  <si>
    <t>Демонтаж радіаторів опалення</t>
  </si>
  <si>
    <t>Φ 16 -32 мм. Переміщення у відвал.</t>
  </si>
  <si>
    <t>Φ 50 -160 мм. Переміщення у відвал.</t>
  </si>
  <si>
    <t>Демонтаж сантехфаянсу</t>
  </si>
  <si>
    <t>Демонтаж розеток, вимикачів, розподільчих коробок</t>
  </si>
  <si>
    <t>Демонтаж освітлення:
Свтильників - 25шт.</t>
  </si>
  <si>
    <t>Демонтаж сантехнічного обладнання подачі води (бойлери, насоси, баки запасу води, очисні…)</t>
  </si>
  <si>
    <t xml:space="preserve"> м2</t>
  </si>
  <si>
    <t xml:space="preserve">Демонтаж залізобетоної плити в операторній товщ. до 20 см. з навантаженням на автосамоскиди.  </t>
  </si>
  <si>
    <t>Влаштування тимчасового підсилення пройому у зв'язку з демонтажем несучої стіни, збирання та розбирання стійок та балок інвентарної камери.</t>
  </si>
  <si>
    <t xml:space="preserve">Демонтаж плитки стін та підлоги
(в т.ч плінтус)
</t>
  </si>
  <si>
    <t>Демонтаж бетонних та залізобетонних конструкцій, що існують. (фундаменти, приямки тощо!)
В розцінку включено вивезення демонтованих матеріалів з утилізацією.</t>
  </si>
  <si>
    <t>Навантаження, вивіз та утилізація сміття</t>
  </si>
  <si>
    <t>Перенесення меблів по приміщенню з накриванням плівкою ПЕ</t>
  </si>
  <si>
    <r>
      <t>*</t>
    </r>
    <r>
      <rPr>
        <u/>
        <sz val="10"/>
        <color indexed="8"/>
        <rFont val="Verdana"/>
        <family val="2"/>
        <charset val="204"/>
      </rPr>
      <t>площа меблів по підлозі</t>
    </r>
    <r>
      <rPr>
        <sz val="10"/>
        <color indexed="8"/>
        <rFont val="Verdana"/>
        <family val="2"/>
        <charset val="204"/>
      </rPr>
      <t>*. По будівлі АЗС. 
Захист від пилу та пошкоджень!</t>
    </r>
  </si>
  <si>
    <t>9.1</t>
  </si>
  <si>
    <t>Дорожня основа пісок (відсів) 15см (підстилаючий шар 150 мм)</t>
  </si>
  <si>
    <t>Дорожне покриття з ФЕМ
(підстилаючий шар пісок (відсів) -100 мм)</t>
  </si>
  <si>
    <t>кількість стовбчиків - 1шт</t>
  </si>
  <si>
    <t>Влаштування бетонної підготовки під фундаменти товщ. 100мм</t>
  </si>
  <si>
    <t>Влаштування щебеневої подушки перед влаштуванням підготовки</t>
  </si>
  <si>
    <t>Ущільнення площинними трамбівками вагою більшою за 150 кг. до коефіцієнту ущільнення основи грунту 0,98 до досягненні щільності сухого грунту 1,6т/м3.</t>
  </si>
  <si>
    <t xml:space="preserve">Загальнобудівельні роботи при монтажі заземлення (загальне заземлення операторної горизонтальне та вертикальне) </t>
  </si>
  <si>
    <t>Роботи нульового циклу операторної (земляні роботи, футляри проходження комунікацій D50)</t>
  </si>
  <si>
    <t>Ущільнення площинними трамбівками вагою більшою за 150 кг. до коефіцієнту ущільнення основи 0,98 до досягненні щільності сухого грунту 1,6т/м3.</t>
  </si>
  <si>
    <t>Влаштування бетонної підготовки товщ. 100мм під чорнову підлогу</t>
  </si>
  <si>
    <t>Роботи нульового циклу, влаштування  армованої чорнової монолітної підлоги товщиною 150мм</t>
  </si>
  <si>
    <t xml:space="preserve">Ущільнення дна траншеї під влаштування з/б фундаментів операторної. </t>
  </si>
  <si>
    <t>Розкріплення перегородок першого поверху в кутах та в дверних прорізах і кріплення інсталяції умивальників, рукосушок, бойлера та унітазів</t>
  </si>
  <si>
    <t>Стіни та перегородки (колони операторної, ригелі стінові, вертикальні зв'язки, деталі виготовлення та монтаж + пофарбування)</t>
  </si>
  <si>
    <t>ПЕРЕКРИТТЯ (виготовлення та монтаж +пофарбування балки, прогони, зв'язки, закладні, окремі деталі)</t>
  </si>
  <si>
    <t>Літній навіс (виготовлення та монтаж +пофарбування колони, балки, прогони, зв'язки, закладні, окремі деталі)</t>
  </si>
  <si>
    <t>Перегородки г/к (внутрішні стіни, перегородки) 
Каркас під всі г/к перегородки виконується на всю висоту - 3,5-4,2 м. Гіпсокартон на перегоротках на висоту 3,1м (торговий зал гіпсокартон на всю висоту).</t>
  </si>
  <si>
    <t>Закупівля пожежної драбини (вартість алюмінієвої драбини + конструкція, монтажні роботи)</t>
  </si>
  <si>
    <t>Зовнішні оздоблювальні роботи (теплоізоляція цоколя пінопластом t=50 мм, ширина 1м, штукатурення по утеплювачу із застосуванням склосітки з подальшим нанесенням обмазувальної гідроізоляції.</t>
  </si>
  <si>
    <t xml:space="preserve">Внутрішні оздоблювальні роботи (підвісні протипожежні стелі) операторної </t>
  </si>
  <si>
    <t>Включає всі витрати</t>
  </si>
  <si>
    <t>Монтаж профілів та кутників алюмінієвих</t>
  </si>
  <si>
    <t>Влаштування гквс коробів включно з каркасом зі шпаклюваням швів</t>
  </si>
  <si>
    <t>Грунтування + шпаклювання старт + фініш</t>
  </si>
  <si>
    <t>Високоякісне пофарбування коробів за 2-3 рази. Включає грунтування.</t>
  </si>
  <si>
    <t>Водопровід холодної води (В1)
Влаштування водомірного вузла з підключення повіренням, пломбуванням.</t>
  </si>
  <si>
    <t>Водомірний вузол:
- Обв'язка Лічильника -1шт
- Регулятор тиску -1шт</t>
  </si>
  <si>
    <t>Водопровід холодної води операторної   (В1) Монтаж окремого обладнання включно з арматурою та обв'язкою</t>
  </si>
  <si>
    <t>Улаштування насосної станції</t>
  </si>
  <si>
    <t>Монтаж бойлера електричного</t>
  </si>
  <si>
    <t>Перелік щитів ГРЩ 1,6х2,2х0.35 - 1шт.  Виготовлення та монтаж щита ХОТ-КАФЕ -1шт на 24 полюси; монтаж щита АВР; встановлення автоматики зовнішнього освітлення в ГРЩ; вартість стабілізатора OPTIMUM - 7,5 кВт.</t>
  </si>
  <si>
    <t>Щит електричний на 24 модулі з автоматичними вимикачами та ПЗВ</t>
  </si>
  <si>
    <t>Автомати ЕАТОN або Schneider Electric
Виготовлення, підключення, монтаж</t>
  </si>
  <si>
    <t>Щит електричний на 36 модулі з автоматичними вимикачами та ПЗВ</t>
  </si>
  <si>
    <t>Допомого у монтажі контрольного щита підключення голів ПРК (КШ)</t>
  </si>
  <si>
    <t>Перелік щитів: 1 шт</t>
  </si>
  <si>
    <t>ARISTON SG-100 -2шт
Включно з кранами та обв'язкою</t>
  </si>
  <si>
    <t>Монтаж переданих рекламних конструкцій Замовника з підключенням.</t>
  </si>
  <si>
    <t>Монтаж поручнів для інвалідів.</t>
  </si>
  <si>
    <t>комплект - 1шт.</t>
  </si>
  <si>
    <t>Облицювання алюмінієвим листом приямків</t>
  </si>
  <si>
    <t xml:space="preserve">Приямок ГРШ та приямок серверної шафи  </t>
  </si>
  <si>
    <t>Різні роботи (ревізійні дверцята -3шт; дверні відбійники -8шт, зароблення душових піддонів -1шт, підвіконня -4шт, прорізання прорізів -комплект)</t>
  </si>
  <si>
    <t>Площа дзеркал  - 6,8м2</t>
  </si>
  <si>
    <t xml:space="preserve">Система переговорного зв'язку і система озвучення (Акустичні колонки, комплекс трансляції повідомлень,модулі виклику, переговорні пристрої) </t>
  </si>
  <si>
    <t>Проект на новій елементній базі. Прокладання кабельних мереж, монтаж.</t>
  </si>
  <si>
    <t>Остаточна зачистка резервуарного парку перед зливом палива</t>
  </si>
  <si>
    <t xml:space="preserve">Встановлення стовпчика заземлення бензовоза (земляні роботи, фундамент, монтаж металоконструкції, під'єднання до заземлювачів, монтаж щитка, троса (ПВ3 10мм2 - 20мп), струбцини, фарбування)  </t>
  </si>
  <si>
    <t>Мережі заземлення та блискавкозахисту (земляні роботи, прокладання заземлювачів, фарбування стиків) Враховано заземлення опор освітлення, та стели з двома світильниками, іміджевої стели та стрілок в'їзд- виїзд і сервісної колонки та дизель-генератора</t>
  </si>
  <si>
    <t>Загальнобудівельні роботи та монтаж приямків на зелені зоні (земляні роботи, самі приямки, монтаж, підмурування)</t>
  </si>
  <si>
    <t>Демонтаж металоконструкцй, що існують із збереженням придатних матеріалів та утилізацією сміття</t>
  </si>
  <si>
    <t>Влаштування покрівлі навісу профлистом ПК 45, оц. 0,7 мм. Вміст цинку не менше 220г/м2</t>
  </si>
  <si>
    <t>Дорожне покриття з ФЕМ (ВЛАСНЕ ПЛИТКА ФЕМ 6см З ДОСТАВКОЮ) -тактильна</t>
  </si>
  <si>
    <t>Влаштування придверних решіток СІТІ (піддон+гумова решітка 40х60см +коврова в зал t=28мм)</t>
  </si>
  <si>
    <t>Встановлення Дощеприймачів
Дощоприймач секційний бетонний Mega 520x510 H650 нижня частина з решіткою чавунною щілинною E600</t>
  </si>
  <si>
    <t>Встановлення Дощеприймачів
(ТМ Vodaland Mega 520x510 H650)
(земляні роботи, щебенева основа, встановлення на бетон, створення додаткових ухилів розчином, встановлення решіток)</t>
  </si>
  <si>
    <t xml:space="preserve">Встановлення водовідвідних лотків та пісковловлювачів (земляні роботи, щебенева основа, встановлення лотків на бетон, створення додаткових ухилів розчином, встановлення решіток) </t>
  </si>
  <si>
    <t>Встановлення огородження території (земляні роботи, фундаменти,  бетонування, вартість огородження формова 3D сітка з панелей з напиленням ПВХ 153*250см, встановлення, фарбування)</t>
  </si>
  <si>
    <t>Монолічення та оздоблення острівків ПРК (заливання острівків бетоном, облицювання керамічною плиткою грес темно-сірого кольору)</t>
  </si>
  <si>
    <t xml:space="preserve">ПРК , СКР </t>
  </si>
  <si>
    <t>ЦЕНРАЛІЗОВАНА ПОСТАВКА ВІДДІЛУ ПОСТАЧАННЯ</t>
  </si>
  <si>
    <t>Відповідальність Замовника</t>
  </si>
  <si>
    <t>КАСОВА СИСТЕМА Управління з монтажем а також вся оргтехніка</t>
  </si>
  <si>
    <t>ЦЕНРАЛІЗОВАНА ПОСТАВКА</t>
  </si>
  <si>
    <t>Меблі та торгове обладнання зі встановленням</t>
  </si>
  <si>
    <t>Монтаж СКМ</t>
  </si>
  <si>
    <t>Виконується згідно окремого проекту за погодженням ІТ відділу</t>
  </si>
  <si>
    <t>ДИЗЕЛЬ генератор JCB (25 кВт 31 КВА)</t>
  </si>
  <si>
    <t>Метрологічне обладнання</t>
  </si>
  <si>
    <t>Комплект виконавчої документації по всьому комплексі виконаних робіт по реконструкції АЗК (виконавчі схеми + випробовування щитів, трубопроводів, заземлення, ПЗВ)</t>
  </si>
  <si>
    <t>Відповідальність та ризики 
ПІДРЯДНИКА</t>
  </si>
  <si>
    <t>Ціна, грн. з ПДВ</t>
  </si>
  <si>
    <t>Сума, грн. з ПДВ</t>
  </si>
  <si>
    <t>Курс євро НБУ:</t>
  </si>
  <si>
    <r>
      <rPr>
        <b/>
        <sz val="9"/>
        <color theme="1"/>
        <rFont val="Verdana"/>
        <family val="2"/>
      </rPr>
      <t>Холодильна камера (об'єм зберігання 9 м</t>
    </r>
    <r>
      <rPr>
        <b/>
        <vertAlign val="superscript"/>
        <sz val="9"/>
        <color theme="1"/>
        <rFont val="Verdana"/>
        <family val="2"/>
      </rPr>
      <t>3</t>
    </r>
    <r>
      <rPr>
        <b/>
        <sz val="9"/>
        <color theme="1"/>
        <rFont val="Verdana"/>
        <family val="2"/>
      </rPr>
      <t>, площа камер 4,09 м</t>
    </r>
    <r>
      <rPr>
        <b/>
        <vertAlign val="superscript"/>
        <sz val="9"/>
        <color theme="1"/>
        <rFont val="Verdana"/>
        <family val="2"/>
      </rPr>
      <t>2</t>
    </r>
    <r>
      <rPr>
        <b/>
        <sz val="9"/>
        <color theme="1"/>
        <rFont val="Verdana"/>
        <family val="2"/>
      </rPr>
      <t>)</t>
    </r>
  </si>
  <si>
    <t xml:space="preserve">Спліт-система Technob STX150 </t>
  </si>
  <si>
    <t>Фреонова магістраль (Фреонова + Кабельна продукція)</t>
  </si>
  <si>
    <t>п. м.</t>
  </si>
  <si>
    <r>
      <rPr>
        <sz val="9"/>
        <color theme="1"/>
        <rFont val="Verdana"/>
        <family val="2"/>
      </rPr>
      <t xml:space="preserve">Двері холодильні розп. ДХР-100 - 900 - 2000 (з можливістю відкривання з середини камери) </t>
    </r>
    <r>
      <rPr>
        <b/>
        <sz val="9"/>
        <color rgb="FFFF0000"/>
        <rFont val="Verdana"/>
        <family val="2"/>
      </rPr>
      <t>Серія "Стандарт"</t>
    </r>
  </si>
  <si>
    <t>Стелаж легкозбірний оцинкований 1950*1000*500</t>
  </si>
  <si>
    <t>Монтаж обладнання та стелажів</t>
  </si>
  <si>
    <t>Витрати на відрядження працівників</t>
  </si>
  <si>
    <t>Витрати пов"язані із наданням паспортів на обладнання, сертифікатів на матеріали (обладнання) виконавчі схеми, акти прихованих робіт, фотозвіт</t>
  </si>
  <si>
    <t>Загальна вартість, грн з ПДВ</t>
  </si>
  <si>
    <r>
      <rPr>
        <b/>
        <sz val="9"/>
        <color theme="1"/>
        <rFont val="Verdana"/>
        <family val="2"/>
      </rPr>
      <t>Морозильна камера (об'єм зберігання 12,32 м</t>
    </r>
    <r>
      <rPr>
        <b/>
        <vertAlign val="superscript"/>
        <sz val="9"/>
        <color theme="1"/>
        <rFont val="Verdana"/>
        <family val="2"/>
      </rPr>
      <t xml:space="preserve">3 </t>
    </r>
    <r>
      <rPr>
        <b/>
        <sz val="9"/>
        <color theme="1"/>
        <rFont val="Verdana"/>
        <family val="2"/>
      </rPr>
      <t>, площа камер 5,6 м</t>
    </r>
    <r>
      <rPr>
        <b/>
        <vertAlign val="superscript"/>
        <sz val="9"/>
        <color theme="1"/>
        <rFont val="Verdana"/>
        <family val="2"/>
      </rPr>
      <t>2</t>
    </r>
    <r>
      <rPr>
        <b/>
        <sz val="9"/>
        <color theme="1"/>
        <rFont val="Verdana"/>
        <family val="2"/>
      </rPr>
      <t>)</t>
    </r>
  </si>
  <si>
    <t>Спліт-система Technob STZ400</t>
  </si>
  <si>
    <r>
      <rPr>
        <sz val="9"/>
        <color theme="1"/>
        <rFont val="Verdana"/>
        <family val="2"/>
      </rPr>
      <t xml:space="preserve">Двері морозильні розп. ДМР-100 - 900 - 2000 (з можливістю відкривання з середини камери) Рама із підігрівом. </t>
    </r>
    <r>
      <rPr>
        <b/>
        <sz val="9"/>
        <color rgb="FFFF0000"/>
        <rFont val="Verdana"/>
        <family val="2"/>
      </rPr>
      <t>Серія "Стандарт"</t>
    </r>
  </si>
  <si>
    <t>ВСІ СВІТИЛЬНИКИ СВІТОДІОДНІ (ДЛЯ АЗС) ТА  ДЛЯ ВНУТРІШНЬОГО ОЗДОБЛЕННЯ</t>
  </si>
  <si>
    <t>Назва матеріалу чи обладнання</t>
  </si>
  <si>
    <t>Магазин</t>
  </si>
  <si>
    <t>Підлогове біополіуретанове покриття Wineo Purline 1500</t>
  </si>
  <si>
    <t>Монтаж стінового покриття  SPC Surface</t>
  </si>
  <si>
    <t>Клей сілановий UZIN KE 68 T, кг</t>
  </si>
  <si>
    <t>Грунтовка UZIN PE 460, л</t>
  </si>
  <si>
    <t>Панель підлогова  VFUC-8714 дуб  невада 8 мм, 32 кл Krono Orig,Польща</t>
  </si>
  <si>
    <t>Клей Sopro FF 455  25 кг</t>
  </si>
  <si>
    <t>Затирка Sopro DF 10  1068  Карамель 5 кг</t>
  </si>
  <si>
    <t>Жовта скляна моно мат 30*30 (4 мм) Кераміка</t>
  </si>
  <si>
    <t>Санвузли для відвідувачів</t>
  </si>
  <si>
    <t>Умивальники + унітази</t>
  </si>
  <si>
    <t>111.300.00.5 Duofix Інсталяція д/підв. Унітазу</t>
  </si>
  <si>
    <t>111.835.00.1 Duofix Кріплення до стіни, універсальне
Інсталяції інше</t>
  </si>
  <si>
    <t>115.890.SN.5 Sigma10 HyTronic змив до  унітазу, 230V
Клавіша</t>
  </si>
  <si>
    <t>115.861.00.1 HyTronic Монтажна група для блока
Інсталяції інше</t>
  </si>
  <si>
    <t>111.616.00.1 Інсталяція для пісуара Geberit Duofix</t>
  </si>
  <si>
    <t>116.076.00.1 Система електронного керування змивом пісуара Geberit, антивандальна, прихована частина</t>
  </si>
  <si>
    <t>136.909.21.2 Зливний клапан Geberit Тип 240, подвійний змив, хром глянцевий</t>
  </si>
  <si>
    <t>116.025.SN.1 Клавіша змиву електронна для пісуара Geberit Sigma10, матовий хром</t>
  </si>
  <si>
    <t>Змішувач-сушка Dyson Airblade AB10</t>
  </si>
  <si>
    <t>M38155000 NOVA PRO Умивальник 55см   для людей з обмеженим  и фізичними можливо стями, з переливом Раковина</t>
  </si>
  <si>
    <t>152.170.16.1 Труба d45м м   до вж. 1м Інсталяції інше</t>
  </si>
  <si>
    <t>L77100000 FREJA Полуп'єдестал для умивальника (білий)</t>
  </si>
  <si>
    <t>366681 Сифон  д/раковини, хром Сифон  для раковини</t>
  </si>
  <si>
    <t>156.050.00.1 Звукоізолююча прокладка Інсталяції інше</t>
  </si>
  <si>
    <t>M39018000 NOVA PRO підвісний унітаз Rimfree  з кришкою soft-close (1уп ) Унітаз</t>
  </si>
  <si>
    <t>Плитка для підлоги Батіста Стіл рект. 597х597х8,5 код 0345 Cerrad Польща</t>
  </si>
  <si>
    <t>Плитка підл. Батіста Стіл рект. 1197х597х10 код 0765 Церрад, Польща</t>
  </si>
  <si>
    <t>Плитка Golden Tile біла моно 20x30</t>
  </si>
  <si>
    <t>Клапан термостатичний АТМ341 зовн. 3/4</t>
  </si>
  <si>
    <t>27030СН AURORA  Гачок, хром гачок</t>
  </si>
  <si>
    <t>DJ0112CS Дозатор рідкого мила 1.1 л, горизонт сатиновий нерж.сталь</t>
  </si>
  <si>
    <t>PR2783C S Tpимач туалетного паперу д.230мм сатиновий, нерж сталь</t>
  </si>
  <si>
    <t>D 222S Тримач накладок саніт.1/2S-LINE сатиновий, нерж.сталь</t>
  </si>
  <si>
    <t>Смітник 16л</t>
  </si>
  <si>
    <t xml:space="preserve">A65800 Щітка туалетна настінна, хромова,пластик
</t>
  </si>
  <si>
    <t>Перегородки туалетні з ДСП біла 25 мм,алюм.профіль,замок ABLOY, м2</t>
  </si>
  <si>
    <t>Перегородки пісюарніні з ДСП біла 25 мм,алюм.профіль,замок ABLOY, шт</t>
  </si>
  <si>
    <t>Поручні з н/ж сталі AISI304 длялюдей з особливими потребами</t>
  </si>
  <si>
    <t>Дзеркало 4 мм, з сріб.покр.з прир.прям 0,5*1</t>
  </si>
  <si>
    <t>Шліф. З пол кром.толщ.3-4-5 мм до 50 м.п. Пр</t>
  </si>
  <si>
    <t>Допоміжні приміщення</t>
  </si>
  <si>
    <t>Монолічення та оздоблення острівків</t>
  </si>
  <si>
    <t>Керамограніт Pimento 0601K - темно-сірий</t>
  </si>
  <si>
    <t>Оздоблення надземної частини цоколя</t>
  </si>
  <si>
    <t>Керамограніт Pimento 0601 - темно-сірий</t>
  </si>
  <si>
    <t>26533400 Crometta 1jet/Unica’ Croma Душовий набір Душовий набір</t>
  </si>
  <si>
    <t>Доставка товару</t>
  </si>
  <si>
    <t xml:space="preserve">Демонтаж стелі підшивної
(гіпсокартон,амстронг, металева підшивка)
Об'єм уточнюється по факту. </t>
  </si>
  <si>
    <t xml:space="preserve">Всього по пункту до п. 10.1.2. (кераміка та сантехніка для внутрішнього оздоблення) грн. з ПДВ : </t>
  </si>
  <si>
    <t>Світильники внутрішнього освітлення</t>
  </si>
  <si>
    <t>Трековий світильник Maxus assistance Track light C 28W 90CRI 4000K 24DEG 3-Phase Black (Артикул: MATLC-28940-024D3P-B)</t>
  </si>
  <si>
    <t>Панель світлодіодна Maxus assistance LED PANEL PRO 36W 850 595*595 v2 (Артикул: MAPN-36W850-66-2)</t>
  </si>
  <si>
    <t>Панель світлодіодна MAXUS ASSISTANCE PRO 250x250 мм 2,5W денне світло</t>
  </si>
  <si>
    <t>Панель світлодіодна MAXUS ASSISTANCE PRO 500x500 мм 2,5W денне світло</t>
  </si>
  <si>
    <t>Панель світлодіодна Maxus assistance PRO 1000x1000 мм</t>
  </si>
  <si>
    <t>Панель світлодіодна Maxus assistance PRO 1800x1800 мм</t>
  </si>
  <si>
    <t>Панель світлодіодна Maxus assistance PRO 2000x1000 мм</t>
  </si>
  <si>
    <t>Лінійний світильник Maxus assistance LINE PRO PL 1200 мм 40W 5000K IP66 White (Артикул: MALN-PROPL-12-405-WH)</t>
  </si>
  <si>
    <t>Лінійний світильник Maxus assistance LINE PRO PL 3000 мм</t>
  </si>
  <si>
    <t>Світлодіодний світильник Maxus Batten Light 20W 5000K IP65 (Артикул: 1-MBT-2050-PC)</t>
  </si>
  <si>
    <t>Світильник акумуляторний (аварійне освітлення)</t>
  </si>
  <si>
    <t>Світильник "Вхід"</t>
  </si>
  <si>
    <t>Шинопровід Maxus assistance Track Recessed 3Phase 3m Black (Артикул: MATR-3P-L3-B)</t>
  </si>
  <si>
    <t>Шинопровід Maxus assistance Track Recessed 3Phase 2m Black (Артикул: MATR-2P-L2-B)</t>
  </si>
  <si>
    <t>Шинопровід Maxus assistance Track Recessed 3Phase 1m Black (Артикул: MATR-2P-L1-B)</t>
  </si>
  <si>
    <t>Живлення шинопроводу</t>
  </si>
  <si>
    <t>Блок аварійного живлення Maxus assistance Emergency KIT FULL POWER Max80W 8800mAh 11_1V</t>
  </si>
  <si>
    <t>Світильники вуличного освітлення</t>
  </si>
  <si>
    <t>Світильник вуличний MAXUS ASSISTANCE STREET PRO 150W 4000K IP66</t>
  </si>
  <si>
    <t>LED-стрічка 10 Вт/м, 24V, IP68</t>
  </si>
  <si>
    <t>Світильники навісу ПРК+Літній майданчик+Дитячий майданчик</t>
  </si>
  <si>
    <t>Лінійний світильник Maxus assistance Line OK 1000mm 20W 4000K IP65 AL</t>
  </si>
  <si>
    <t>Лінійний світильник Maxus assistance Line OK 1500mm 30W 4000K IP65 AL</t>
  </si>
  <si>
    <t xml:space="preserve">Всього по пункту до п. 10.1.3 (світильники світлодіодні) грн. з ПДВ : </t>
  </si>
  <si>
    <r>
      <t xml:space="preserve">Електромонтажні роботи </t>
    </r>
    <r>
      <rPr>
        <b/>
        <sz val="10"/>
        <color indexed="8"/>
        <rFont val="Verdana"/>
        <family val="2"/>
        <charset val="204"/>
      </rPr>
      <t xml:space="preserve">операторної </t>
    </r>
    <r>
      <rPr>
        <sz val="10"/>
        <color indexed="8"/>
        <rFont val="Verdana"/>
        <family val="2"/>
        <charset val="204"/>
      </rPr>
      <t xml:space="preserve"> (свердління отворів, вибивання гнізд, монтаж розподільчих коробок, прокладання кабельної каналізації, влаштування кабельних каналів, прокладання кабелів, монтаж вимикачів, розеток, під'єднання електроприладів, пуско-налагодження системи).</t>
    </r>
  </si>
  <si>
    <t>Облаштування будівельного майданчику (склади, побутові приміщення, приміщення для нарад та ін.)</t>
  </si>
  <si>
    <t>км</t>
  </si>
  <si>
    <t xml:space="preserve">Відповідальність Підрядника
</t>
  </si>
  <si>
    <t>Відрядження,проживання, перевезення генпідрядника (тільки робітники генпідрядника)</t>
  </si>
  <si>
    <t>Механізована виємка грунту для демонтажу підземних споруд</t>
  </si>
  <si>
    <t>Демонтаж острівків ПРК з обрамленням.В розцінку включено навантаження демонтованих матеріалів для утилізації.</t>
  </si>
  <si>
    <t xml:space="preserve">Демонтаж покриття з ФЕМ (без зберігання матеріалу)
</t>
  </si>
  <si>
    <t>Перенесення та переключення електричних та слабострумних щитків</t>
  </si>
  <si>
    <t>1.2.3</t>
  </si>
  <si>
    <t>в т. ч. проводка. (виконується разом з перегородками та зовнішніми стінами)</t>
  </si>
  <si>
    <r>
      <t xml:space="preserve">Демонтаж залізобетоної </t>
    </r>
    <r>
      <rPr>
        <b/>
        <sz val="10"/>
        <color rgb="FF000000"/>
        <rFont val="Verdana"/>
        <family val="2"/>
        <charset val="204"/>
      </rPr>
      <t>плити перекриття</t>
    </r>
    <r>
      <rPr>
        <sz val="10"/>
        <color indexed="8"/>
        <rFont val="Verdana"/>
        <family val="2"/>
        <charset val="204"/>
      </rPr>
      <t xml:space="preserve"> в операторній товщ. до 20 см. з навантаженням на автосамоскиди та вивезення</t>
    </r>
  </si>
  <si>
    <t>2.1.1</t>
  </si>
  <si>
    <t>2.1.3</t>
  </si>
  <si>
    <t>2.1.5</t>
  </si>
  <si>
    <t xml:space="preserve">Відповідальність Підрядника  </t>
  </si>
  <si>
    <t>Загальнобудівельні роботи та монтаж приямків під окремостоячі ПРК  (земляні роботи, бетонна основа, монтаж; розварювання до колон кутником, герметизація, без вартості приямку).</t>
  </si>
  <si>
    <r>
      <t>м</t>
    </r>
    <r>
      <rPr>
        <vertAlign val="superscript"/>
        <sz val="10"/>
        <rFont val="Verdana"/>
        <family val="2"/>
        <charset val="204"/>
      </rPr>
      <t>3</t>
    </r>
  </si>
  <si>
    <t>2.2.2</t>
  </si>
  <si>
    <t>2.2.3</t>
  </si>
  <si>
    <t>надання послуг підряднику автокраном 8 маш.год.</t>
  </si>
  <si>
    <t>НУЛЬОВИЙ ЦИКЛ АЗК</t>
  </si>
  <si>
    <t>НАЗЕМНА ЧАСТИНА  АЗК</t>
  </si>
  <si>
    <t>3.5.1</t>
  </si>
  <si>
    <t>3.5.2</t>
  </si>
  <si>
    <t>НАВІС НАД ПРК реконструкція ( без оздоблення )  АЗК</t>
  </si>
  <si>
    <t>Встановлення щогли блискавкозахисту (виготовлення металоконструкцій щогл, земляні роботи, фундамент, монтаж щогл, під'єднання до заземлювачів, фарбування)</t>
  </si>
  <si>
    <t>Виготовлення, складення необхідних розрахунків та погодження  в ДСНС.</t>
  </si>
  <si>
    <t>Електромережі зовнішнього освітлення (земляні роботи, прокладання ПВХ футлярів Ø50мм, протягування кабелів, приєднання до світильників, перевірка)</t>
  </si>
  <si>
    <t xml:space="preserve">БУДІВЛЯ АЗК  </t>
  </si>
  <si>
    <t>ПОЖЕЖКА ТА ІНШЕ АЗК</t>
  </si>
  <si>
    <t>Улаштування електричного підігріву підлог</t>
  </si>
  <si>
    <r>
      <t xml:space="preserve">Електромонтажні роботи </t>
    </r>
    <r>
      <rPr>
        <b/>
        <sz val="10"/>
        <color indexed="8"/>
        <rFont val="Verdana"/>
        <family val="2"/>
        <charset val="204"/>
      </rPr>
      <t xml:space="preserve">операторної </t>
    </r>
    <r>
      <rPr>
        <sz val="10"/>
        <color indexed="8"/>
        <rFont val="Verdana"/>
        <family val="2"/>
        <charset val="204"/>
      </rPr>
      <t xml:space="preserve"> (свердління отворів, вибивання гнізд, монтаж розподільчих коробок, прокладання кабельної каналізації, влаштування кабельних каналів, прокладання кабелів).</t>
    </r>
  </si>
  <si>
    <t>ДЕМОНТАЖНІ РОБОТИ ПЛОЩАДКОВІ АЗК</t>
  </si>
  <si>
    <t>ОЗДОБЛЕННЯ ВНУТРІШНЄ І ВНУТРІШНІ МЕРЕЖІ АЗК</t>
  </si>
  <si>
    <t>3.1.1</t>
  </si>
  <si>
    <t>3.1.2</t>
  </si>
  <si>
    <t>3.1.3</t>
  </si>
  <si>
    <t>3.1.4</t>
  </si>
  <si>
    <t>3.1.5</t>
  </si>
  <si>
    <t>3.1.6</t>
  </si>
  <si>
    <t>3.1.7</t>
  </si>
  <si>
    <t>3.1.8</t>
  </si>
  <si>
    <t>3.1.9</t>
  </si>
  <si>
    <t>3.1.10</t>
  </si>
  <si>
    <t>3.1.11</t>
  </si>
  <si>
    <t>3.1.12</t>
  </si>
  <si>
    <t>3.1.13</t>
  </si>
  <si>
    <t>3.1.14</t>
  </si>
  <si>
    <t>3.1.15</t>
  </si>
  <si>
    <t>3.1.16</t>
  </si>
  <si>
    <t>3.1.17</t>
  </si>
  <si>
    <t>3.2.1</t>
  </si>
  <si>
    <t>3.2.2</t>
  </si>
  <si>
    <t>3.2.3</t>
  </si>
  <si>
    <t>3.2.4</t>
  </si>
  <si>
    <t>3.2.5</t>
  </si>
  <si>
    <t>3.2.6</t>
  </si>
  <si>
    <t>3.2.7</t>
  </si>
  <si>
    <t>3.2.8</t>
  </si>
  <si>
    <t>3.2.9</t>
  </si>
  <si>
    <t>3.2.10</t>
  </si>
  <si>
    <t>3.2.11</t>
  </si>
  <si>
    <t>3.2.12</t>
  </si>
  <si>
    <t>3.3.1</t>
  </si>
  <si>
    <t>3.3.2</t>
  </si>
  <si>
    <t>3.3.3</t>
  </si>
  <si>
    <t>3.3.4</t>
  </si>
  <si>
    <t>3.3.5</t>
  </si>
  <si>
    <t>3.3.6</t>
  </si>
  <si>
    <t>3.3.7</t>
  </si>
  <si>
    <t>3.3.8</t>
  </si>
  <si>
    <t>3.3.9</t>
  </si>
  <si>
    <t>3.3.10</t>
  </si>
  <si>
    <t>3.3.11</t>
  </si>
  <si>
    <t>3.3.12</t>
  </si>
  <si>
    <t>3.3.13</t>
  </si>
  <si>
    <t>3.3.14</t>
  </si>
  <si>
    <t>3.3.15</t>
  </si>
  <si>
    <t>3.3.16</t>
  </si>
  <si>
    <t>3.3.17</t>
  </si>
  <si>
    <t>3.3.18</t>
  </si>
  <si>
    <t>3.3.19</t>
  </si>
  <si>
    <t>3.3.20</t>
  </si>
  <si>
    <t>3.3.21</t>
  </si>
  <si>
    <t>3.3.22</t>
  </si>
  <si>
    <t>3.3.23</t>
  </si>
  <si>
    <t>3.3.24</t>
  </si>
  <si>
    <t>3.3.25</t>
  </si>
  <si>
    <t>3.3.26</t>
  </si>
  <si>
    <t>3.3.27</t>
  </si>
  <si>
    <t>3.3.28</t>
  </si>
  <si>
    <t>3.3.29</t>
  </si>
  <si>
    <t>3.3.30</t>
  </si>
  <si>
    <t>3.3.31</t>
  </si>
  <si>
    <t>3.3.32</t>
  </si>
  <si>
    <t>3.3.33</t>
  </si>
  <si>
    <t>3.3.34</t>
  </si>
  <si>
    <t>3.3.35</t>
  </si>
  <si>
    <t>3.3.36</t>
  </si>
  <si>
    <t>3.4.1</t>
  </si>
  <si>
    <t>3.4.2</t>
  </si>
  <si>
    <t>3.4.3</t>
  </si>
  <si>
    <t>8.1.1</t>
  </si>
  <si>
    <t>8.1.2</t>
  </si>
  <si>
    <t>8.1.3</t>
  </si>
  <si>
    <t>8.1.4</t>
  </si>
  <si>
    <t>8.1.5</t>
  </si>
  <si>
    <t>8.1.6</t>
  </si>
  <si>
    <t>8.1.7</t>
  </si>
  <si>
    <t xml:space="preserve">ЧОРНОВЕ ВЕРТИКАЛЬНЕ ПЛАНУВАННЯ АЗК  </t>
  </si>
  <si>
    <t>1.2.1</t>
  </si>
  <si>
    <t>1.2.2</t>
  </si>
  <si>
    <t>1.2.4</t>
  </si>
  <si>
    <t>1.2.10</t>
  </si>
  <si>
    <t>1.2.11</t>
  </si>
  <si>
    <t>1.2.12</t>
  </si>
  <si>
    <t>1.2.13</t>
  </si>
  <si>
    <t>1.2.14</t>
  </si>
  <si>
    <t>1.2.15</t>
  </si>
  <si>
    <t>1.2.16</t>
  </si>
  <si>
    <t>1.2.17</t>
  </si>
  <si>
    <t>1.2.18</t>
  </si>
  <si>
    <t>1.2.19</t>
  </si>
  <si>
    <t>1.2.20</t>
  </si>
  <si>
    <t>1.2.21</t>
  </si>
  <si>
    <t>1.2.22</t>
  </si>
  <si>
    <t>1.2.23</t>
  </si>
  <si>
    <t>1.2.24</t>
  </si>
  <si>
    <t>1.2.25</t>
  </si>
  <si>
    <t>1.2.26</t>
  </si>
  <si>
    <t>1.3.1</t>
  </si>
  <si>
    <t>1.3.2</t>
  </si>
  <si>
    <t>1.3.3</t>
  </si>
  <si>
    <t>1.3.4</t>
  </si>
  <si>
    <t>1.3.5</t>
  </si>
  <si>
    <t>1.3.6</t>
  </si>
  <si>
    <t>1.3.7</t>
  </si>
  <si>
    <t>1.3.8</t>
  </si>
  <si>
    <t>1.3.9</t>
  </si>
  <si>
    <t>1.3.10</t>
  </si>
  <si>
    <t>1.3.11</t>
  </si>
  <si>
    <t>1.3.12</t>
  </si>
  <si>
    <t>1.3.13</t>
  </si>
  <si>
    <t>1.3.14</t>
  </si>
  <si>
    <t>1.3.15</t>
  </si>
  <si>
    <t>1.3.16</t>
  </si>
  <si>
    <t>1.3.17</t>
  </si>
  <si>
    <t>1.3.18</t>
  </si>
  <si>
    <t>1.3.19</t>
  </si>
  <si>
    <t>1.3.20</t>
  </si>
  <si>
    <t>1.3.21</t>
  </si>
  <si>
    <t>1.3.22</t>
  </si>
  <si>
    <t>1.3.23</t>
  </si>
  <si>
    <t>1.3.24</t>
  </si>
  <si>
    <t>1.3.25</t>
  </si>
  <si>
    <t>1.3.26</t>
  </si>
  <si>
    <t>1.3.27</t>
  </si>
  <si>
    <t>2.1.2</t>
  </si>
  <si>
    <t>2.1.4</t>
  </si>
  <si>
    <t>2.1.6</t>
  </si>
  <si>
    <t>2.1.7</t>
  </si>
  <si>
    <t>2.2.1</t>
  </si>
  <si>
    <t>ОСНОВНІ РОБОТИ ПО БЛАГОУСТРОЮ</t>
  </si>
  <si>
    <t>ЗОВНІШНІ ІНЖЕНЕРНІ МЕРЕЖІ</t>
  </si>
  <si>
    <t xml:space="preserve">Бортові камені, поребрики, решітки АЗК  </t>
  </si>
  <si>
    <t xml:space="preserve">ІНШІ РОБОТИ ПО БЛАГОУСТРІЮ ТА МАФ АЗК  </t>
  </si>
  <si>
    <t>ОВ ТА ТЕЛ. ВНУТ.ІНЖЕНЕРНІ СИСТЕМИ  АЗК</t>
  </si>
  <si>
    <t xml:space="preserve">ТЕХНОЛОГІЧНІ ТРУБОПРОВОДИ ТА ОБЛАДНАННЯ (БЕНЗИН І ДИЗПАЛИВО) АЗК  </t>
  </si>
  <si>
    <t xml:space="preserve">РЕЗЕРВУАРИ БЕНЗИН І ДИЗПАЛИВО (Окремостоячий резервуарний парк) АЗК  </t>
  </si>
  <si>
    <t xml:space="preserve">ТЕХНОЛОГІЧНЕ ОБЛАДНАННЯ АЗК  </t>
  </si>
  <si>
    <t xml:space="preserve">ЧИСТОВЕ ВЕРТИКАЛЬНЕ ПЛАНУВАННЯ (АЗК)   </t>
  </si>
  <si>
    <t>Влаштування покриття з декоративного кварцевого щебню фракція 10-20 (t. 7 см)</t>
  </si>
  <si>
    <t>Вирівнювальний шар (пісок 5 см) під влаштування декоративного чистового щебню.</t>
  </si>
  <si>
    <t>Влаштування покриття з агроволокна з кріпленням під влаштування декоративного щебню.</t>
  </si>
  <si>
    <t>Використання автокрану. (Розвантаження конструкцій Замовника).</t>
  </si>
  <si>
    <t>Використання автокрану за погодженням Замовника.</t>
  </si>
  <si>
    <t>Демонтаж обшивки операторної з композиту (без зберігання матеріалу)</t>
  </si>
  <si>
    <t>Демонтаж повітропроводів вентиляційних (без зберігання матеріалу)</t>
  </si>
  <si>
    <t>(без зберігання матеріалу)</t>
  </si>
  <si>
    <r>
      <t xml:space="preserve">Демонтаж світильників
</t>
    </r>
    <r>
      <rPr>
        <b/>
        <i/>
        <sz val="10"/>
        <color rgb="FFFF0000"/>
        <rFont val="Verdana"/>
        <family val="2"/>
        <charset val="204"/>
      </rPr>
      <t>(зі збереженням матеріалів)</t>
    </r>
    <r>
      <rPr>
        <sz val="10"/>
        <color rgb="FFFF0000"/>
        <rFont val="Verdana"/>
        <family val="2"/>
        <charset val="204"/>
      </rPr>
      <t xml:space="preserve"> </t>
    </r>
    <r>
      <rPr>
        <sz val="10"/>
        <color indexed="8"/>
        <rFont val="Verdana"/>
        <family val="2"/>
        <charset val="204"/>
      </rPr>
      <t xml:space="preserve">
(акт прийому - передачі)</t>
    </r>
  </si>
  <si>
    <t>В т.ч оренда стійок та ригелів. Підпорка навісу при демонтажі операторної.</t>
  </si>
  <si>
    <t>5.1</t>
  </si>
  <si>
    <t>Отримання(збір документів) для переоформлення  дозволу на роботи, виклик служб (земляні , зовнішні мережі, ордера на виконання)</t>
  </si>
  <si>
    <t xml:space="preserve">Відповідальність Підрядника. </t>
  </si>
  <si>
    <t>Фундамент під ціновий пілон (земляні роботи, фундаменти, закладні деталі та анкери) Футляр ПВХ50мм -4м.п.</t>
  </si>
  <si>
    <t>Розробка грунту вручну 
( Резервуарний парк)</t>
  </si>
  <si>
    <t>Загальнобудівельні роботи при монтажі пластикових трубопроводів (земляні роботи, засипка та підсипка змонтованих трубопроводів піском з трамбуванням та проливанням водою)</t>
  </si>
  <si>
    <r>
      <t xml:space="preserve">Демонтаж внутрішніх дверей та вікон
</t>
    </r>
    <r>
      <rPr>
        <sz val="10"/>
        <color rgb="FFFF0000"/>
        <rFont val="Verdana"/>
        <family val="2"/>
        <charset val="204"/>
      </rPr>
      <t>(зі збереженням матеріалів)(</t>
    </r>
    <r>
      <rPr>
        <sz val="10"/>
        <color indexed="8"/>
        <rFont val="Verdana"/>
        <family val="2"/>
        <charset val="204"/>
      </rPr>
      <t xml:space="preserve">акт прийому-передачі)
</t>
    </r>
  </si>
  <si>
    <r>
      <t xml:space="preserve">Демонтаж водовідвідних лотків </t>
    </r>
    <r>
      <rPr>
        <sz val="10"/>
        <color rgb="FFFF0000"/>
        <rFont val="Verdana"/>
        <family val="2"/>
        <charset val="204"/>
      </rPr>
      <t>(без збереження матеріалів).</t>
    </r>
  </si>
  <si>
    <r>
      <t xml:space="preserve">Відключення існуючої </t>
    </r>
    <r>
      <rPr>
        <b/>
        <sz val="10"/>
        <rFont val="Verdana"/>
        <family val="2"/>
        <charset val="204"/>
      </rPr>
      <t>вітки електропостачання</t>
    </r>
    <r>
      <rPr>
        <sz val="10"/>
        <rFont val="Verdana"/>
        <family val="2"/>
        <charset val="204"/>
      </rPr>
      <t xml:space="preserve"> після вузла обліку. КЛ-0,4кВ.</t>
    </r>
  </si>
  <si>
    <r>
      <t xml:space="preserve">ДЕМОНТАЖНІ РОБОТИ </t>
    </r>
    <r>
      <rPr>
        <b/>
        <sz val="12"/>
        <color rgb="FF0000FF"/>
        <rFont val="Verdana"/>
        <family val="2"/>
        <charset val="204"/>
      </rPr>
      <t>ОПЕРАТОРНА АЗК</t>
    </r>
  </si>
  <si>
    <r>
      <t xml:space="preserve">Демонтаж асфальтного покриття.
</t>
    </r>
    <r>
      <rPr>
        <sz val="10"/>
        <color rgb="FFFF0000"/>
        <rFont val="Verdana"/>
        <family val="2"/>
        <charset val="204"/>
      </rPr>
      <t>В розцінку включено вивезення демонтованих матеріалів з утилізацією.</t>
    </r>
  </si>
  <si>
    <r>
      <t xml:space="preserve">Демонтаж бордюрів та бортових каменів навколо операторної </t>
    </r>
    <r>
      <rPr>
        <sz val="10"/>
        <color rgb="FFFF0000"/>
        <rFont val="Verdana"/>
        <family val="2"/>
        <charset val="204"/>
      </rPr>
      <t xml:space="preserve">(без збереження матеріалів). </t>
    </r>
  </si>
  <si>
    <r>
      <t xml:space="preserve">Демонтаж поребрика </t>
    </r>
    <r>
      <rPr>
        <sz val="10"/>
        <color rgb="FFFF0000"/>
        <rFont val="Verdana"/>
        <family val="2"/>
        <charset val="204"/>
      </rPr>
      <t>(без збереження матеріалів)</t>
    </r>
  </si>
  <si>
    <r>
      <t>Демонтаж бетонних та залізобетонних конструкцій, що існують.</t>
    </r>
    <r>
      <rPr>
        <sz val="10"/>
        <color rgb="FFFF0000"/>
        <rFont val="Verdana"/>
        <family val="2"/>
        <charset val="204"/>
      </rPr>
      <t>В розцінку включено вивезення демонтованих матеріалів з утилізацією.</t>
    </r>
  </si>
  <si>
    <r>
      <t xml:space="preserve">Демонтаж:
-Бетонні конструкції, фундаменти  - 20м3
Комплекс робіт.  ( Уточ. По факту.) </t>
    </r>
    <r>
      <rPr>
        <sz val="10"/>
        <color rgb="FFFF0000"/>
        <rFont val="Verdana"/>
        <family val="2"/>
        <charset val="204"/>
      </rPr>
      <t>В розцінку включено завантаження вивезення демонтованих матеріалів з утилізацією.</t>
    </r>
  </si>
  <si>
    <r>
      <t>м</t>
    </r>
    <r>
      <rPr>
        <vertAlign val="superscript"/>
        <sz val="10"/>
        <rFont val="Verdana"/>
        <family val="2"/>
        <charset val="204"/>
      </rPr>
      <t>2</t>
    </r>
  </si>
  <si>
    <r>
      <t>Роботи нульового циклу (обернена засипка під підлоги і відмостку з</t>
    </r>
    <r>
      <rPr>
        <b/>
        <i/>
        <sz val="10"/>
        <rFont val="Verdana"/>
        <family val="2"/>
        <charset val="204"/>
      </rPr>
      <t xml:space="preserve"> нового піску</t>
    </r>
    <r>
      <rPr>
        <sz val="10"/>
        <rFont val="Verdana"/>
        <family val="2"/>
        <charset val="204"/>
      </rPr>
      <t>) з пошаровим трамбуванням кожні 15-20см. Включена засипка пазух фундаментів</t>
    </r>
  </si>
  <si>
    <r>
      <t>Сендвіч-панель PANTEC білого кольору, наповнювач пінополіуритан,</t>
    </r>
    <r>
      <rPr>
        <b/>
        <u/>
        <sz val="10"/>
        <rFont val="Verdana"/>
        <family val="2"/>
        <charset val="204"/>
      </rPr>
      <t xml:space="preserve"> t = 120мм,</t>
    </r>
    <r>
      <rPr>
        <sz val="10"/>
        <rFont val="Verdana"/>
        <family val="2"/>
        <charset val="204"/>
      </rPr>
      <t xml:space="preserve"> ущільнювачі, герметик, направляючі прикріплені до підлоги, кутники. Конструкція повністю самонесуча. Висота в середині 2,2м.
У вартість відходи (площа сендвіч-панелей повинна відповідати фактично змонтованій кількості). Двері морозильні 910х2000 із відкриван. з середини -1шт. Штора - 1 шт.</t>
    </r>
  </si>
  <si>
    <r>
      <t>Сендвіч-панель PANTEC білого кольору, наповнювач пінополіуритан,</t>
    </r>
    <r>
      <rPr>
        <u/>
        <sz val="10"/>
        <rFont val="Verdana"/>
        <family val="2"/>
        <charset val="204"/>
      </rPr>
      <t xml:space="preserve"> </t>
    </r>
    <r>
      <rPr>
        <b/>
        <u/>
        <sz val="10"/>
        <rFont val="Verdana"/>
        <family val="2"/>
        <charset val="204"/>
      </rPr>
      <t>t = 120мм,</t>
    </r>
    <r>
      <rPr>
        <sz val="10"/>
        <rFont val="Verdana"/>
        <family val="2"/>
        <charset val="204"/>
      </rPr>
      <t xml:space="preserve"> ущільнювачі, герметик, напрямляючі прикріплені до підлоги, кутники. Конструкція повністю самонесуча. Висота в середині 2,2м
У вартість включені відходи (площа сендвіч-панелей повинна відповідати фактично змонтованій кількості). Двері морозильні 910х2000 із відкрив. з середини-1шт. Штора-1 шт.</t>
    </r>
  </si>
  <si>
    <r>
      <t xml:space="preserve">Висота драбини - до </t>
    </r>
    <r>
      <rPr>
        <b/>
        <sz val="10"/>
        <rFont val="Verdana"/>
        <family val="2"/>
        <charset val="204"/>
      </rPr>
      <t xml:space="preserve">6м. </t>
    </r>
    <r>
      <rPr>
        <sz val="10"/>
        <rFont val="Verdana"/>
        <family val="2"/>
        <charset val="204"/>
      </rPr>
      <t xml:space="preserve">
Погодження Замовника</t>
    </r>
  </si>
  <si>
    <r>
      <t xml:space="preserve">Внутрішні оздоблювальні роботи (підлог </t>
    </r>
    <r>
      <rPr>
        <b/>
        <sz val="10"/>
        <rFont val="Verdana"/>
        <family val="2"/>
        <charset val="204"/>
      </rPr>
      <t xml:space="preserve">доготівельної </t>
    </r>
    <r>
      <rPr>
        <sz val="10"/>
        <rFont val="Verdana"/>
        <family val="2"/>
        <charset val="204"/>
      </rPr>
      <t>з епоксидного полімерного покриття).</t>
    </r>
  </si>
  <si>
    <r>
      <t xml:space="preserve">Внутрішні оздоблювальні роботи </t>
    </r>
    <r>
      <rPr>
        <b/>
        <sz val="10"/>
        <rFont val="Verdana"/>
        <family val="2"/>
        <charset val="204"/>
      </rPr>
      <t xml:space="preserve">операторної </t>
    </r>
    <r>
      <rPr>
        <sz val="10"/>
        <rFont val="Verdana"/>
        <family val="2"/>
        <charset val="204"/>
      </rPr>
      <t xml:space="preserve">(шпаклювання) згідно відомості опорядження приміщень .У розцінку включено грунтування </t>
    </r>
  </si>
  <si>
    <r>
      <t xml:space="preserve">Внутрішні оздоблювальні роботи  стелі  та стіни </t>
    </r>
    <r>
      <rPr>
        <b/>
        <sz val="10"/>
        <rFont val="Verdana"/>
        <family val="2"/>
        <charset val="204"/>
      </rPr>
      <t xml:space="preserve">операторної </t>
    </r>
    <r>
      <rPr>
        <sz val="10"/>
        <rFont val="Verdana"/>
        <family val="2"/>
        <charset val="204"/>
      </rPr>
      <t xml:space="preserve">малярні роботи </t>
    </r>
  </si>
  <si>
    <r>
      <t xml:space="preserve">Внутрішні оздоблювальні роботи (підвісні стелі) </t>
    </r>
    <r>
      <rPr>
        <b/>
        <sz val="10"/>
        <rFont val="Verdana"/>
        <family val="2"/>
        <charset val="204"/>
      </rPr>
      <t>операторної.</t>
    </r>
  </si>
  <si>
    <r>
      <t xml:space="preserve">Внутрішні оздоблювальні роботи (підвісні стелі) </t>
    </r>
    <r>
      <rPr>
        <b/>
        <sz val="10"/>
        <rFont val="Verdana"/>
        <family val="2"/>
        <charset val="204"/>
      </rPr>
      <t>операторної</t>
    </r>
    <r>
      <rPr>
        <sz val="10"/>
        <rFont val="Verdana"/>
        <family val="2"/>
        <charset val="204"/>
      </rPr>
      <t xml:space="preserve"> </t>
    </r>
  </si>
  <si>
    <r>
      <t xml:space="preserve">ОЗДОБЛЮВАЛЬНІ РОБОТИ В ОПЕРАТОРНІЙ
ДЛЯ ПРИВЕДЕННЯ ДО СТАНДАРТУ
</t>
    </r>
    <r>
      <rPr>
        <b/>
        <sz val="10"/>
        <rFont val="Verdana"/>
        <family val="2"/>
        <charset val="204"/>
      </rPr>
      <t>"ОККО 3.0"</t>
    </r>
  </si>
  <si>
    <r>
      <t xml:space="preserve">Водопровід холодної води </t>
    </r>
    <r>
      <rPr>
        <b/>
        <sz val="10"/>
        <rFont val="Verdana"/>
        <family val="2"/>
        <charset val="204"/>
      </rPr>
      <t xml:space="preserve">операторної   (В1) </t>
    </r>
    <r>
      <rPr>
        <sz val="10"/>
        <rFont val="Verdana"/>
        <family val="2"/>
        <charset val="204"/>
      </rPr>
      <t xml:space="preserve">(пробивання отворів у стінах та перегородках, зароблення проходів, прокладання трубопроводів
поліпропіленових, теплоізоляція) </t>
    </r>
  </si>
  <si>
    <r>
      <t xml:space="preserve">Ємність накопичувальна пластикова V=1000 л, D=900 мм, H=2000 мм - </t>
    </r>
    <r>
      <rPr>
        <b/>
        <sz val="10"/>
        <rFont val="Verdana"/>
        <family val="2"/>
        <charset val="204"/>
      </rPr>
      <t xml:space="preserve">1шт.
</t>
    </r>
    <r>
      <rPr>
        <sz val="10"/>
        <rFont val="Verdana"/>
        <family val="2"/>
        <charset val="204"/>
      </rPr>
      <t>Клапани управліня контролю очищення води ОЗ/4" 320мм.
Штуцер зливний (врізка в ємність) ВЛМЗ - 3шт.
Фітінги (відвід із бака у зборі VR 3/4").
Заглушка латунна 1/2" В PATTARONI.
Куля пластикова для клапану 120 з повзунком.
Кріплення FARG.
Кран кульовий Wavin ППР 25 мм.</t>
    </r>
  </si>
  <si>
    <r>
      <t xml:space="preserve">Насосна  станція Grundfos Hydrojet - 1шт </t>
    </r>
    <r>
      <rPr>
        <b/>
        <sz val="10"/>
        <rFont val="Verdana"/>
        <family val="2"/>
        <charset val="204"/>
      </rPr>
      <t xml:space="preserve">
</t>
    </r>
    <r>
      <rPr>
        <sz val="10"/>
        <rFont val="Verdana"/>
        <family val="2"/>
        <charset val="204"/>
      </rPr>
      <t xml:space="preserve">Перехідник латунний (під ключ) О1/2"М 3/4F 3B </t>
    </r>
    <r>
      <rPr>
        <b/>
        <sz val="10"/>
        <rFont val="Verdana"/>
        <family val="2"/>
        <charset val="204"/>
      </rPr>
      <t xml:space="preserve">
</t>
    </r>
    <r>
      <rPr>
        <sz val="10"/>
        <rFont val="Verdana"/>
        <family val="2"/>
        <charset val="204"/>
      </rPr>
      <t xml:space="preserve">Перехідник латунний (футорка) О1/2 - 1  </t>
    </r>
    <r>
      <rPr>
        <b/>
        <sz val="10"/>
        <rFont val="Verdana"/>
        <family val="2"/>
        <charset val="204"/>
      </rPr>
      <t xml:space="preserve">
</t>
    </r>
    <r>
      <rPr>
        <sz val="10"/>
        <rFont val="Verdana"/>
        <family val="2"/>
        <charset val="204"/>
      </rPr>
      <t xml:space="preserve">Кран кульовий Wavin ППР 20 мм </t>
    </r>
  </si>
  <si>
    <r>
      <t xml:space="preserve">Водопровід гарячої води </t>
    </r>
    <r>
      <rPr>
        <b/>
        <sz val="10"/>
        <rFont val="Verdana"/>
        <family val="2"/>
        <charset val="204"/>
      </rPr>
      <t>операторно</t>
    </r>
    <r>
      <rPr>
        <sz val="10"/>
        <rFont val="Verdana"/>
        <family val="2"/>
        <charset val="204"/>
      </rPr>
      <t xml:space="preserve">ї </t>
    </r>
    <r>
      <rPr>
        <b/>
        <sz val="10"/>
        <rFont val="Verdana"/>
        <family val="2"/>
        <charset val="204"/>
      </rPr>
      <t>(ТЗ)</t>
    </r>
    <r>
      <rPr>
        <sz val="10"/>
        <rFont val="Verdana"/>
        <family val="2"/>
        <charset val="204"/>
      </rPr>
      <t>(пробивання отворів у стінах та перегородках, зароблення проходів, прокладання трубопроводів поліпропіленових, теплоізол)</t>
    </r>
  </si>
  <si>
    <r>
      <t>Внутр.побут.каналіз.</t>
    </r>
    <r>
      <rPr>
        <b/>
        <sz val="10"/>
        <rFont val="Verdana"/>
        <family val="2"/>
        <charset val="204"/>
      </rPr>
      <t xml:space="preserve">К-1;К-3
операторної </t>
    </r>
    <r>
      <rPr>
        <sz val="10"/>
        <rFont val="Verdana"/>
        <family val="2"/>
        <charset val="204"/>
      </rPr>
      <t>(пробивання та зароблення отворів і штраб, прокладання системи пластикових трубопроводів, прочистки, згони)</t>
    </r>
  </si>
  <si>
    <r>
      <t xml:space="preserve">Виготовлення та монтаж щитів </t>
    </r>
    <r>
      <rPr>
        <b/>
        <sz val="10"/>
        <rFont val="Verdana"/>
        <family val="2"/>
        <charset val="204"/>
      </rPr>
      <t xml:space="preserve">операторної </t>
    </r>
    <r>
      <rPr>
        <sz val="10"/>
        <rFont val="Verdana"/>
        <family val="2"/>
        <charset val="204"/>
      </rPr>
      <t>(ГРШ +щит хот-кафе). Включено пусконалагоджувальні роботи. Підключення  щитів  UPS;  СКР; СВ; ПС; ОС. Щит ГРШ виконується у двостворчатій металевій шафі з внутрішнім обліком (лічильник електронний прямого включення)  Погодження схеми ГРШ перед виготовленням.</t>
    </r>
  </si>
  <si>
    <r>
      <t>Прокладання ТП 50 з протяжками -</t>
    </r>
    <r>
      <rPr>
        <b/>
        <sz val="10"/>
        <rFont val="Verdana"/>
        <family val="2"/>
        <charset val="204"/>
      </rPr>
      <t xml:space="preserve"> 300м.п.
</t>
    </r>
    <r>
      <rPr>
        <sz val="10"/>
        <rFont val="Verdana"/>
        <family val="2"/>
        <charset val="204"/>
      </rPr>
      <t xml:space="preserve"> Кабеля SFTP - 400м/п.</t>
    </r>
  </si>
  <si>
    <r>
      <t xml:space="preserve">Кількість стрічки 40Х4 - </t>
    </r>
    <r>
      <rPr>
        <b/>
        <sz val="10"/>
        <rFont val="Verdana"/>
        <family val="2"/>
        <charset val="204"/>
      </rPr>
      <t>50м.п.</t>
    </r>
  </si>
  <si>
    <r>
      <rPr>
        <b/>
        <u/>
        <sz val="10"/>
        <rFont val="Verdana"/>
        <family val="2"/>
        <charset val="204"/>
      </rPr>
      <t>Опрори (Дсв1 - Дсв5)  - 5 шт.</t>
    </r>
    <r>
      <rPr>
        <sz val="10"/>
        <rFont val="Verdana"/>
        <family val="2"/>
        <charset val="204"/>
      </rPr>
      <t xml:space="preserve">
</t>
    </r>
    <r>
      <rPr>
        <b/>
        <sz val="10"/>
        <rFont val="Verdana"/>
        <family val="2"/>
        <charset val="204"/>
      </rPr>
      <t>Фундаменти Фс-2:</t>
    </r>
    <r>
      <rPr>
        <sz val="10"/>
        <rFont val="Verdana"/>
        <family val="2"/>
        <charset val="204"/>
      </rPr>
      <t xml:space="preserve">
Бетон С16/20, W6, F75 - </t>
    </r>
    <r>
      <rPr>
        <b/>
        <sz val="10"/>
        <rFont val="Verdana"/>
        <family val="2"/>
        <charset val="204"/>
      </rPr>
      <t>0,3м3.</t>
    </r>
    <r>
      <rPr>
        <sz val="10"/>
        <rFont val="Verdana"/>
        <family val="2"/>
        <charset val="204"/>
      </rPr>
      <t xml:space="preserve">
Бетон С8/10 - </t>
    </r>
    <r>
      <rPr>
        <b/>
        <sz val="10"/>
        <rFont val="Verdana"/>
        <family val="2"/>
        <charset val="204"/>
      </rPr>
      <t xml:space="preserve">0,1 м3. </t>
    </r>
    <r>
      <rPr>
        <sz val="10"/>
        <rFont val="Verdana"/>
        <family val="2"/>
        <charset val="204"/>
      </rPr>
      <t xml:space="preserve">Армування - </t>
    </r>
    <r>
      <rPr>
        <b/>
        <sz val="10"/>
        <rFont val="Verdana"/>
        <family val="2"/>
        <charset val="204"/>
      </rPr>
      <t>25 кг.</t>
    </r>
    <r>
      <rPr>
        <sz val="10"/>
        <rFont val="Verdana"/>
        <family val="2"/>
        <charset val="204"/>
      </rPr>
      <t xml:space="preserve">
Основа з відсіву під кожний фундамент - </t>
    </r>
    <r>
      <rPr>
        <b/>
        <sz val="10"/>
        <rFont val="Verdana"/>
        <family val="2"/>
        <charset val="204"/>
      </rPr>
      <t>0,5 м3.</t>
    </r>
  </si>
  <si>
    <r>
      <t xml:space="preserve">Світильники Slight 20 - </t>
    </r>
    <r>
      <rPr>
        <b/>
        <sz val="10"/>
        <rFont val="Verdana"/>
        <family val="2"/>
        <charset val="204"/>
      </rPr>
      <t xml:space="preserve">2 шт.
</t>
    </r>
    <r>
      <rPr>
        <sz val="10"/>
        <rFont val="Verdana"/>
        <family val="2"/>
        <charset val="204"/>
      </rPr>
      <t xml:space="preserve">Фундаменти - </t>
    </r>
    <r>
      <rPr>
        <b/>
        <sz val="10"/>
        <rFont val="Verdana"/>
        <family val="2"/>
        <charset val="204"/>
      </rPr>
      <t>2 шт.</t>
    </r>
  </si>
  <si>
    <r>
      <t>кількість приямків -</t>
    </r>
    <r>
      <rPr>
        <b/>
        <sz val="10"/>
        <rFont val="Verdana"/>
        <family val="2"/>
        <charset val="204"/>
      </rPr>
      <t xml:space="preserve"> 5шт
</t>
    </r>
    <r>
      <rPr>
        <sz val="10"/>
        <rFont val="Verdana"/>
        <family val="2"/>
        <charset val="204"/>
      </rPr>
      <t xml:space="preserve">Бетон - </t>
    </r>
    <r>
      <rPr>
        <b/>
        <sz val="10"/>
        <rFont val="Verdana"/>
        <family val="2"/>
        <charset val="204"/>
      </rPr>
      <t xml:space="preserve">0,24 м3.
</t>
    </r>
    <r>
      <rPr>
        <sz val="10"/>
        <rFont val="Verdana"/>
        <family val="2"/>
        <charset val="204"/>
      </rPr>
      <t xml:space="preserve">Металевий лист 5 мм (5,2 м2) - </t>
    </r>
    <r>
      <rPr>
        <b/>
        <sz val="10"/>
        <rFont val="Verdana"/>
        <family val="2"/>
        <charset val="204"/>
      </rPr>
      <t>0,2103 т.</t>
    </r>
  </si>
  <si>
    <r>
      <rPr>
        <b/>
        <sz val="10"/>
        <rFont val="Verdana"/>
        <family val="2"/>
        <charset val="204"/>
      </rPr>
      <t>Монтаж сепаратору жиру - 1шт.</t>
    </r>
    <r>
      <rPr>
        <sz val="10"/>
        <rFont val="Verdana"/>
        <family val="2"/>
        <charset val="204"/>
      </rPr>
      <t xml:space="preserve">
Продуктивність - </t>
    </r>
    <r>
      <rPr>
        <b/>
        <sz val="10"/>
        <rFont val="Verdana"/>
        <family val="2"/>
        <charset val="204"/>
      </rPr>
      <t>10 л/с</t>
    </r>
    <r>
      <rPr>
        <sz val="10"/>
        <rFont val="Verdana"/>
        <family val="2"/>
        <charset val="204"/>
      </rPr>
      <t xml:space="preserve">
Монтаж, підключення, випробування пусконалагоджування!</t>
    </r>
  </si>
  <si>
    <r>
      <t>м</t>
    </r>
    <r>
      <rPr>
        <b/>
        <vertAlign val="superscript"/>
        <sz val="10"/>
        <rFont val="Verdana"/>
        <family val="2"/>
        <charset val="204"/>
      </rPr>
      <t>2</t>
    </r>
  </si>
  <si>
    <r>
      <t xml:space="preserve">Дорожня основа пісок (відсів) 15см 
</t>
    </r>
    <r>
      <rPr>
        <b/>
        <sz val="10"/>
        <rFont val="Verdana"/>
        <family val="2"/>
        <charset val="204"/>
      </rPr>
      <t>(підстилаючий шар 150 мм)</t>
    </r>
  </si>
  <si>
    <r>
      <t xml:space="preserve">Дорожня основа щебінь 40-70 -10см та 20-40 -5см </t>
    </r>
    <r>
      <rPr>
        <b/>
        <sz val="10"/>
        <rFont val="Verdana"/>
        <family val="2"/>
        <charset val="204"/>
      </rPr>
      <t>(підстилаючий шар 150мм)</t>
    </r>
  </si>
  <si>
    <r>
      <t xml:space="preserve">Дорожне покриття з ФЕМ ( ВЛАСНЕ ПЛИТКА ФЕМ 8см ГАНТЕЛЬ З ДОСТАВКОЮ)
</t>
    </r>
    <r>
      <rPr>
        <b/>
        <sz val="10"/>
        <rFont val="Verdana"/>
        <family val="2"/>
        <charset val="204"/>
      </rPr>
      <t xml:space="preserve">ОКРЕМЕ ПОГОДЖЕННЯ ТА ТИП ТА ВИРОБНИКА </t>
    </r>
  </si>
  <si>
    <t>Дорожне покриття з ФЕМ цементно-піщаний шар 4см i(150кг портландцементу на 1м3)</t>
  </si>
  <si>
    <r>
      <t xml:space="preserve">Дорожне покриття з ФЕМ (ВЛАСНЕ ПЛИТКА ФЕМ 6см З ДОСТАВКОЮ) -сірого кольору  </t>
    </r>
    <r>
      <rPr>
        <b/>
        <sz val="10"/>
        <rFont val="Verdana"/>
        <family val="2"/>
        <charset val="204"/>
      </rPr>
      <t xml:space="preserve">ОКРЕМЕ ПОГОДЖЕННЯ ТА ТИП ТА ВИРОБНИКА </t>
    </r>
  </si>
  <si>
    <r>
      <rPr>
        <b/>
        <sz val="10"/>
        <rFont val="Verdana"/>
        <family val="2"/>
        <charset val="204"/>
      </rPr>
      <t>Бордюри</t>
    </r>
    <r>
      <rPr>
        <sz val="10"/>
        <rFont val="Verdana"/>
        <family val="2"/>
        <charset val="204"/>
      </rPr>
      <t xml:space="preserve"> (основа з щебню, встановлення на бетон, оббетоновування, підрізання)  </t>
    </r>
  </si>
  <si>
    <r>
      <rPr>
        <b/>
        <sz val="10"/>
        <rFont val="Verdana"/>
        <family val="2"/>
        <charset val="204"/>
      </rPr>
      <t>Поребрики</t>
    </r>
    <r>
      <rPr>
        <sz val="10"/>
        <rFont val="Verdana"/>
        <family val="2"/>
        <charset val="204"/>
      </rPr>
      <t xml:space="preserve"> (основа з щебню, встановлення на бетон, оббетонування, підрізання) </t>
    </r>
  </si>
  <si>
    <r>
      <t xml:space="preserve">Встановлення обрамлення острівків ПРК </t>
    </r>
    <r>
      <rPr>
        <b/>
        <sz val="10"/>
        <rFont val="Verdana"/>
        <family val="2"/>
        <charset val="204"/>
      </rPr>
      <t>(</t>
    </r>
    <r>
      <rPr>
        <sz val="10"/>
        <rFont val="Verdana"/>
        <family val="2"/>
        <charset val="204"/>
      </rPr>
      <t>вартість обрамлень, доставка на об'єкт, встановлення, розварювання профільною трубою, фарбування). Острівки влаштовуються на профільну трубу 20*20 та розкріплюються за допомогою проф труби 20*20 та армаитури.</t>
    </r>
  </si>
  <si>
    <r>
      <t xml:space="preserve">Влаштування фундаментів під знаки </t>
    </r>
    <r>
      <rPr>
        <b/>
        <sz val="10"/>
        <rFont val="Verdana"/>
        <family val="2"/>
        <charset val="204"/>
      </rPr>
      <t>"В'їзд -Виїзд" - 2 шт.</t>
    </r>
    <r>
      <rPr>
        <sz val="10"/>
        <rFont val="Verdana"/>
        <family val="2"/>
        <charset val="204"/>
      </rPr>
      <t xml:space="preserve"> (земляні роботи, влаштування фундаментів, елементів кріплення, встановлення в проектне положення)</t>
    </r>
  </si>
  <si>
    <r>
      <rPr>
        <b/>
        <u/>
        <sz val="10"/>
        <rFont val="Verdana"/>
        <family val="2"/>
        <charset val="204"/>
      </rPr>
      <t>Знаки "В'їзд-Виїзд":</t>
    </r>
    <r>
      <rPr>
        <sz val="10"/>
        <rFont val="Verdana"/>
        <family val="2"/>
        <charset val="204"/>
      </rPr>
      <t xml:space="preserve">
Бетонна підготовка - </t>
    </r>
    <r>
      <rPr>
        <b/>
        <sz val="10"/>
        <rFont val="Verdana"/>
        <family val="2"/>
        <charset val="204"/>
      </rPr>
      <t>0,14 м3.</t>
    </r>
    <r>
      <rPr>
        <sz val="10"/>
        <rFont val="Verdana"/>
        <family val="2"/>
        <charset val="204"/>
      </rPr>
      <t xml:space="preserve">
Бетон С16/20, W6, F75 -</t>
    </r>
    <r>
      <rPr>
        <b/>
        <sz val="10"/>
        <rFont val="Verdana"/>
        <family val="2"/>
        <charset val="204"/>
      </rPr>
      <t xml:space="preserve"> 0,22 м2.</t>
    </r>
    <r>
      <rPr>
        <sz val="10"/>
        <rFont val="Verdana"/>
        <family val="2"/>
        <charset val="204"/>
      </rPr>
      <t xml:space="preserve">
Каркаси - </t>
    </r>
    <r>
      <rPr>
        <b/>
        <sz val="10"/>
        <rFont val="Verdana"/>
        <family val="2"/>
        <charset val="204"/>
      </rPr>
      <t>20 кг.</t>
    </r>
  </si>
  <si>
    <r>
      <rPr>
        <b/>
        <sz val="10"/>
        <rFont val="Verdana"/>
        <family val="2"/>
        <charset val="204"/>
      </rPr>
      <t>ВСЯ  КЕРАМІКА та САНТЕХНІКА ДЛЯ ВНУТРІШНЬОГО ОЗДОБЛЕННЯ</t>
    </r>
    <r>
      <rPr>
        <sz val="10"/>
        <rFont val="Verdana"/>
        <family val="2"/>
        <charset val="204"/>
      </rPr>
      <t xml:space="preserve">
(після кінцевого погодження внутрішнього дизайну відділом маркетигу замовника)</t>
    </r>
  </si>
  <si>
    <r>
      <t xml:space="preserve">окремий додаток </t>
    </r>
    <r>
      <rPr>
        <b/>
        <sz val="10"/>
        <rFont val="Verdana"/>
        <family val="2"/>
        <charset val="204"/>
      </rPr>
      <t>(ЛИСТ САНТЕХНІКА)</t>
    </r>
    <r>
      <rPr>
        <sz val="10"/>
        <rFont val="Verdana"/>
        <family val="2"/>
        <charset val="204"/>
      </rPr>
      <t xml:space="preserve"> з об"ємами закупівель додається.</t>
    </r>
  </si>
  <si>
    <r>
      <t xml:space="preserve">окремий додаток </t>
    </r>
    <r>
      <rPr>
        <b/>
        <sz val="10"/>
        <rFont val="Verdana"/>
        <family val="2"/>
        <charset val="204"/>
      </rPr>
      <t>(ЛИСТ СВІТОДІОДИ)</t>
    </r>
    <r>
      <rPr>
        <sz val="10"/>
        <rFont val="Verdana"/>
        <family val="2"/>
        <charset val="204"/>
      </rPr>
      <t xml:space="preserve"> з об"ємами закупівель додається.</t>
    </r>
  </si>
  <si>
    <r>
      <rPr>
        <b/>
        <sz val="10"/>
        <rFont val="Verdana"/>
        <family val="2"/>
        <charset val="204"/>
      </rPr>
      <t>Сепаратор жиру «Оазис-Fat»</t>
    </r>
    <r>
      <rPr>
        <sz val="10"/>
        <rFont val="Verdana"/>
        <family val="2"/>
        <charset val="204"/>
      </rPr>
      <t xml:space="preserve">
</t>
    </r>
    <r>
      <rPr>
        <b/>
        <sz val="10"/>
        <rFont val="Verdana"/>
        <family val="2"/>
        <charset val="204"/>
      </rPr>
      <t>Окреме погодження замовника, Закривається окремим рахунком</t>
    </r>
  </si>
  <si>
    <r>
      <rPr>
        <b/>
        <sz val="10"/>
        <rFont val="Verdana"/>
        <family val="2"/>
        <charset val="204"/>
      </rPr>
      <t>Сепаратор жиру</t>
    </r>
    <r>
      <rPr>
        <sz val="10"/>
        <rFont val="Verdana"/>
        <family val="2"/>
        <charset val="204"/>
      </rPr>
      <t xml:space="preserve"> (об’єм 2500 л.) 
(розмір 1500х1500х1500) («Оазис-Fat»).
( 5 л. сек.)  </t>
    </r>
    <r>
      <rPr>
        <b/>
        <sz val="10"/>
        <rFont val="Verdana"/>
        <family val="2"/>
        <charset val="204"/>
      </rPr>
      <t>обладнання з доставкою!</t>
    </r>
  </si>
  <si>
    <r>
      <rPr>
        <b/>
        <sz val="10"/>
        <rFont val="Verdana"/>
        <family val="2"/>
        <charset val="204"/>
      </rPr>
      <t>Каналізація К-1: (напірна)
Нассосна станція:</t>
    </r>
    <r>
      <rPr>
        <sz val="10"/>
        <rFont val="Verdana"/>
        <family val="2"/>
        <charset val="204"/>
      </rPr>
      <t xml:space="preserve">
</t>
    </r>
    <r>
      <rPr>
        <b/>
        <sz val="10"/>
        <rFont val="Verdana"/>
        <family val="2"/>
        <charset val="204"/>
      </rPr>
      <t>(окреме погодження замовника)
Згідно проекту: ЗВК</t>
    </r>
  </si>
  <si>
    <r>
      <rPr>
        <b/>
        <sz val="10"/>
        <rFont val="Verdana"/>
        <family val="2"/>
        <charset val="204"/>
      </rPr>
      <t xml:space="preserve">Нассосна станція (1 компл.):
</t>
    </r>
    <r>
      <rPr>
        <sz val="10"/>
        <rFont val="Verdana"/>
        <family val="2"/>
        <charset val="204"/>
      </rPr>
      <t>Колодязь КНС Dragabox СPE Ø2000/2950 мм</t>
    </r>
    <r>
      <rPr>
        <b/>
        <sz val="10"/>
        <rFont val="Verdana"/>
        <family val="2"/>
        <charset val="204"/>
      </rPr>
      <t xml:space="preserve"> 
</t>
    </r>
    <r>
      <rPr>
        <sz val="10"/>
        <rFont val="Verdana"/>
        <family val="2"/>
        <charset val="204"/>
      </rPr>
      <t xml:space="preserve">(з драбиною, обв'язкою і вентиляцією)
</t>
    </r>
    <r>
      <rPr>
        <u/>
        <sz val="10"/>
        <rFont val="Verdana"/>
        <family val="2"/>
        <charset val="204"/>
      </rPr>
      <t xml:space="preserve">Насос каналізаційний </t>
    </r>
    <r>
      <rPr>
        <sz val="10"/>
        <rFont val="Verdana"/>
        <family val="2"/>
        <charset val="204"/>
      </rPr>
      <t xml:space="preserve">GT 50/2/152  - </t>
    </r>
    <r>
      <rPr>
        <b/>
        <sz val="10"/>
        <rFont val="Verdana"/>
        <family val="2"/>
        <charset val="204"/>
      </rPr>
      <t xml:space="preserve">2шт.
</t>
    </r>
    <r>
      <rPr>
        <sz val="10"/>
        <rFont val="Verdana"/>
        <family val="2"/>
        <charset val="204"/>
      </rPr>
      <t xml:space="preserve">Автомуфта насосу DUTY ДУ50 - </t>
    </r>
    <r>
      <rPr>
        <b/>
        <sz val="10"/>
        <rFont val="Verdana"/>
        <family val="2"/>
        <charset val="204"/>
      </rPr>
      <t xml:space="preserve">2шт.
</t>
    </r>
    <r>
      <rPr>
        <sz val="10"/>
        <rFont val="Verdana"/>
        <family val="2"/>
        <charset val="204"/>
      </rPr>
      <t xml:space="preserve">Зворотній клапан ДУ65 </t>
    </r>
    <r>
      <rPr>
        <b/>
        <sz val="10"/>
        <rFont val="Verdana"/>
        <family val="2"/>
        <charset val="204"/>
      </rPr>
      <t xml:space="preserve">- 2шт.
</t>
    </r>
    <r>
      <rPr>
        <sz val="10"/>
        <rFont val="Verdana"/>
        <family val="2"/>
        <charset val="204"/>
      </rPr>
      <t>Клинова засувка ДУ65</t>
    </r>
    <r>
      <rPr>
        <b/>
        <sz val="10"/>
        <rFont val="Verdana"/>
        <family val="2"/>
        <charset val="204"/>
      </rPr>
      <t xml:space="preserve"> - 2шт.
</t>
    </r>
    <r>
      <rPr>
        <sz val="10"/>
        <rFont val="Verdana"/>
        <family val="2"/>
        <charset val="204"/>
      </rPr>
      <t xml:space="preserve">Пульт керування КНС Q2T 2,2 - </t>
    </r>
    <r>
      <rPr>
        <b/>
        <sz val="10"/>
        <rFont val="Verdana"/>
        <family val="2"/>
        <charset val="204"/>
      </rPr>
      <t>1 компл.</t>
    </r>
    <r>
      <rPr>
        <sz val="10"/>
        <rFont val="Verdana"/>
        <family val="2"/>
        <charset val="204"/>
      </rPr>
      <t xml:space="preserve">
Поплавкове реле Taurus 6 -</t>
    </r>
    <r>
      <rPr>
        <b/>
        <sz val="10"/>
        <rFont val="Verdana"/>
        <family val="2"/>
        <charset val="204"/>
      </rPr>
      <t xml:space="preserve"> 4 шт.
</t>
    </r>
    <r>
      <rPr>
        <sz val="10"/>
        <rFont val="Verdana"/>
        <family val="2"/>
        <charset val="204"/>
      </rPr>
      <t>Корзина -решітка н/ж з рамою та направляючими Ø400/500 мм -</t>
    </r>
    <r>
      <rPr>
        <b/>
        <sz val="10"/>
        <rFont val="Verdana"/>
        <family val="2"/>
        <charset val="204"/>
      </rPr>
      <t xml:space="preserve"> 1шт.</t>
    </r>
  </si>
  <si>
    <r>
      <rPr>
        <b/>
        <sz val="10"/>
        <rFont val="Verdana"/>
        <family val="2"/>
        <charset val="204"/>
      </rPr>
      <t xml:space="preserve">Дорожні знаки, розмітка. </t>
    </r>
    <r>
      <rPr>
        <sz val="10"/>
        <rFont val="Verdana"/>
        <family val="2"/>
        <charset val="204"/>
      </rPr>
      <t xml:space="preserve">
Монтаж дорожніх знаків (2-ий типорозмір та 1-ий типорозмір із світловідбиваючою плівкою та із подвійним загином по периметру, знак з поцинкованої сталі товщиною 1,0-1,5мм, зворотня сторона знаку покривається антикорозійною фарбою сірого кольору RAL 7042 (напилення цинку min 275 г/м2)), монтаж стійок поцинкованих, нанесенння дорожньої розмітки, відрядні, проживання, транспорт</t>
    </r>
  </si>
  <si>
    <r>
      <t xml:space="preserve">МАЙДАНЧИКОВІ РОЗПОДІЛЬЧІ ЕЛЕКТРОМЕРЕЖІ </t>
    </r>
    <r>
      <rPr>
        <b/>
        <sz val="12"/>
        <color rgb="FF0000FF"/>
        <rFont val="Verdana"/>
        <family val="2"/>
        <charset val="204"/>
      </rPr>
      <t>АЗК</t>
    </r>
    <r>
      <rPr>
        <b/>
        <sz val="12"/>
        <color indexed="12"/>
        <rFont val="Verdana"/>
        <family val="2"/>
        <charset val="204"/>
      </rPr>
      <t xml:space="preserve">
(+заземлення +електричні </t>
    </r>
    <r>
      <rPr>
        <b/>
        <sz val="12"/>
        <color rgb="FF0000FF"/>
        <rFont val="Verdana"/>
        <family val="2"/>
        <charset val="204"/>
      </rPr>
      <t>мережі)</t>
    </r>
  </si>
  <si>
    <t>Роботи ПО ЧИСТОВІЙ ПІДЛОЗІ (повний проектний пиріг чистової підлоги)</t>
  </si>
  <si>
    <r>
      <t xml:space="preserve">Демонтаж існуючих металоконструкцій навісу
(включає завантаження, вивезення та утилізацію  металоконструкцій.)
</t>
    </r>
    <r>
      <rPr>
        <b/>
        <sz val="10"/>
        <rFont val="Verdana"/>
        <family val="2"/>
        <charset val="204"/>
      </rPr>
      <t>Враховано зворотні суми (металобрухт):</t>
    </r>
  </si>
  <si>
    <t>не більше 10 місяців</t>
  </si>
  <si>
    <t>2. Відтермінування кінцевої оплати після підписання акту виконаних робіт.</t>
  </si>
  <si>
    <r>
      <t xml:space="preserve">_______________________________ </t>
    </r>
    <r>
      <rPr>
        <b/>
        <i/>
        <sz val="14"/>
        <color rgb="FF000000"/>
        <rFont val="Verdana"/>
        <family val="2"/>
        <charset val="204"/>
      </rPr>
      <t>Гегедиш О. М.</t>
    </r>
  </si>
  <si>
    <r>
      <rPr>
        <sz val="10"/>
        <color rgb="FF000000"/>
        <rFont val="Verdana"/>
        <family val="2"/>
        <charset val="204"/>
      </rPr>
      <t>Відповідальність Підрядника</t>
    </r>
    <r>
      <rPr>
        <sz val="10"/>
        <color indexed="8"/>
        <rFont val="Verdana"/>
        <family val="2"/>
        <charset val="204"/>
      </rPr>
      <t xml:space="preserve">
</t>
    </r>
  </si>
  <si>
    <r>
      <t xml:space="preserve">Відповідальність Підрядника
</t>
    </r>
    <r>
      <rPr>
        <b/>
        <sz val="10"/>
        <rFont val="Verdana"/>
        <family val="2"/>
        <charset val="204"/>
      </rPr>
      <t>(Постака замовника) (Окреме погодження)</t>
    </r>
  </si>
  <si>
    <r>
      <t xml:space="preserve">Відповідальність Підрядника 
</t>
    </r>
    <r>
      <rPr>
        <b/>
        <sz val="10"/>
        <color rgb="FF000000"/>
        <rFont val="Verdana"/>
        <family val="2"/>
        <charset val="204"/>
      </rPr>
      <t>(окреме погодження замовника)</t>
    </r>
  </si>
  <si>
    <t>Дзеркало 4 мм, з сріб.покр.з прир.прям 2,8*1 2шт з тумбою</t>
  </si>
  <si>
    <t>Рукомийник (столешня) з чотирма мийками 2800*560*180мм з тумбою</t>
  </si>
  <si>
    <t xml:space="preserve">Відповідальність Підрядника
Окреме погоження
Замовника
</t>
  </si>
  <si>
    <t>Роботи нульового циклу (електроприямки ПР-1 -2шт, ПР-2 -2шт, ПР-3 - 2шт)</t>
  </si>
  <si>
    <r>
      <rPr>
        <b/>
        <sz val="10"/>
        <rFont val="Verdana"/>
        <family val="2"/>
        <charset val="204"/>
      </rPr>
      <t>Biobox N 10/50 з байпасом</t>
    </r>
    <r>
      <rPr>
        <sz val="10"/>
        <rFont val="Verdana"/>
        <family val="2"/>
        <charset val="204"/>
      </rPr>
      <t xml:space="preserve">
власне монтаж.
Розробка грунту-8,1м3
зворотня відсипка піском-5м3
влаштавуння піщаної основи-2м2 (н-100мм)
монтаж з підключенням до ливневої каналізаціі.</t>
    </r>
  </si>
  <si>
    <r>
      <t>Водопровід В-1:</t>
    </r>
    <r>
      <rPr>
        <b/>
        <u/>
        <sz val="10"/>
        <color rgb="FF000000"/>
        <rFont val="Verdana"/>
        <family val="2"/>
        <charset val="204"/>
      </rPr>
      <t xml:space="preserve"> 
(влаштування пожежного гідранту)</t>
    </r>
    <r>
      <rPr>
        <b/>
        <sz val="10"/>
        <color rgb="FF000000"/>
        <rFont val="Verdana"/>
        <family val="2"/>
        <charset val="204"/>
      </rPr>
      <t xml:space="preserve">
</t>
    </r>
    <r>
      <rPr>
        <sz val="10"/>
        <color rgb="FF000000"/>
        <rFont val="Verdana"/>
        <family val="2"/>
        <charset val="204"/>
      </rPr>
      <t>Врізка до водопроводу, що існує, встановлення запірної арматури, випробування)
Виконання всіх робіт під ключ з введенням мережі в експлуатацію, виконання знімання траси</t>
    </r>
  </si>
  <si>
    <r>
      <t xml:space="preserve">Огородження території. 
Матеріал - </t>
    </r>
    <r>
      <rPr>
        <b/>
        <sz val="10"/>
        <color rgb="FF000000"/>
        <rFont val="Verdana"/>
        <family val="2"/>
        <charset val="204"/>
      </rPr>
      <t>Затіняюча сітка</t>
    </r>
    <r>
      <rPr>
        <sz val="10"/>
        <color indexed="8"/>
        <rFont val="Verdana"/>
        <family val="2"/>
        <charset val="204"/>
      </rPr>
      <t xml:space="preserve"> (75-80)% </t>
    </r>
    <r>
      <rPr>
        <b/>
        <sz val="10"/>
        <color rgb="FF000000"/>
        <rFont val="Verdana"/>
        <family val="2"/>
        <charset val="204"/>
      </rPr>
      <t xml:space="preserve">H= 2м.
</t>
    </r>
    <r>
      <rPr>
        <sz val="10"/>
        <color rgb="FF000000"/>
        <rFont val="Verdana"/>
        <family val="2"/>
        <charset val="204"/>
      </rPr>
      <t>Деревяний брус, всі кріпильні мат.,</t>
    </r>
  </si>
  <si>
    <t>Влаштування тимчасових знаків безпеки на час будівництва (враховує трикратну оборотність)</t>
  </si>
  <si>
    <t>Влаштування жолобу із чорнового металу  t=2мм з пофарбуванням та обробкою бітумом із середини t=2мм. Роботи з пофарбування:
підготовка поверхні знежирення, грунтовання грунт епоксидна EPOXYKOR PRIMER 70 (GREY) (виробник Malсhem  Польща) товщина 80 мкр
- фарбування емаль поліуретанованою фарбою  ПУ PURMAL  S-50 RAL - підбір  (виробник Malсhem  Польща) товщина 80 мкр</t>
  </si>
  <si>
    <t>Заземлення навісу ПРК. 
Під'єднання до контурів операторної та резервуарів палива</t>
  </si>
  <si>
    <t>Оцінюються не типові, не стандартні роботи.</t>
  </si>
  <si>
    <r>
      <t xml:space="preserve">уточнити по факту - </t>
    </r>
    <r>
      <rPr>
        <b/>
        <sz val="10"/>
        <rFont val="Verdana"/>
        <family val="2"/>
        <charset val="204"/>
      </rPr>
      <t>9 мп</t>
    </r>
    <r>
      <rPr>
        <sz val="10"/>
        <rFont val="Verdana"/>
        <family val="2"/>
        <charset val="204"/>
      </rPr>
      <t xml:space="preserve"> 
(б/у плити дорожні 2*3м - 6шт.)</t>
    </r>
  </si>
  <si>
    <t>Тимчасове підключення електроенергії
(на період будівництва для потреб будівельного майданчику). Оплачується, якщо є тимчасове електропостачання та не використовується ДГ. Закривається при потребі. Підключенння до мереж постачальника електроенергії враховано в інших витратах.</t>
  </si>
  <si>
    <t>Залізобетонна плита - 2,5м3
Футляр ПВХ 50мм - 5м.п.</t>
  </si>
  <si>
    <r>
      <t xml:space="preserve">Будівельні роботи під дизель-генератор (основа під фундамент -щебінь - 1,5 м3; фундамент (бетон </t>
    </r>
    <r>
      <rPr>
        <sz val="10"/>
        <color theme="1"/>
        <rFont val="Verdana"/>
        <family val="2"/>
        <charset val="204"/>
      </rPr>
      <t>С16/20</t>
    </r>
    <r>
      <rPr>
        <sz val="10"/>
        <rFont val="Verdana"/>
        <family val="2"/>
        <charset val="204"/>
      </rPr>
      <t xml:space="preserve"> - 2,5 м3 + армування - сітка арматурна - 60 кг).  (Плита 5м*2,5м*0,2)</t>
    </r>
  </si>
  <si>
    <t>Демонтаж кабелів АЗК 0,4кВ, що існують
відключення від споживачів, Окреме погодження замовника</t>
  </si>
  <si>
    <r>
      <t xml:space="preserve">Демонтаж опори зовнішнього освітлення!
</t>
    </r>
    <r>
      <rPr>
        <b/>
        <sz val="10"/>
        <rFont val="Verdana"/>
        <family val="2"/>
        <charset val="204"/>
      </rPr>
      <t xml:space="preserve">Окреме погодження замовника!
</t>
    </r>
    <r>
      <rPr>
        <sz val="10"/>
        <rFont val="Verdana"/>
        <family val="2"/>
        <charset val="204"/>
      </rPr>
      <t xml:space="preserve">(передача опор згідно акту) - тІльки демонтаж
</t>
    </r>
  </si>
  <si>
    <r>
      <t xml:space="preserve">Демонтаж щогли блискавкозахисту
</t>
    </r>
    <r>
      <rPr>
        <b/>
        <sz val="10"/>
        <rFont val="Verdana"/>
        <family val="2"/>
        <charset val="204"/>
      </rPr>
      <t xml:space="preserve">Окреме погодження замовника
</t>
    </r>
    <r>
      <rPr>
        <sz val="10"/>
        <rFont val="Verdana"/>
        <family val="2"/>
        <charset val="204"/>
      </rPr>
      <t>Демонтаж та утилізація</t>
    </r>
  </si>
  <si>
    <t>Демонтаж, переміщення та монтаж 
Дизель-генератора</t>
  </si>
  <si>
    <t>Переміщення по території АЗК
Акт прийому передачі експлуатуючій організації!</t>
  </si>
  <si>
    <r>
      <t xml:space="preserve">Демонтаж асфальтобетонного покриття товщиною до 10см. </t>
    </r>
    <r>
      <rPr>
        <sz val="10"/>
        <color rgb="FFFF0000"/>
        <rFont val="Verdana"/>
        <family val="2"/>
        <charset val="204"/>
      </rPr>
      <t>Переміщення його у відвал, завнтаження та вивезення з утилізацією.</t>
    </r>
  </si>
  <si>
    <r>
      <t xml:space="preserve">Механізований демонтаж бетонного покриття товщиною 200мм і більше. </t>
    </r>
    <r>
      <rPr>
        <sz val="10"/>
        <color rgb="FFFF0000"/>
        <rFont val="Verdana"/>
        <family val="2"/>
        <charset val="204"/>
      </rPr>
      <t>В розцінку включено завантаження вивезення демонтованих матеріалів з утилізацією.</t>
    </r>
  </si>
  <si>
    <r>
      <t xml:space="preserve">Демонтаж металоконструкцій
</t>
    </r>
    <r>
      <rPr>
        <b/>
        <sz val="10"/>
        <rFont val="Verdana"/>
        <family val="2"/>
        <charset val="204"/>
      </rPr>
      <t>(існуючі металоконструкції на території АЗК)</t>
    </r>
  </si>
  <si>
    <t>Розробка грунту вручну 
(доробка  після  механізованої)</t>
  </si>
  <si>
    <r>
      <t xml:space="preserve">Демонтаж </t>
    </r>
    <r>
      <rPr>
        <b/>
        <sz val="10"/>
        <rFont val="Verdana"/>
        <family val="2"/>
        <charset val="204"/>
      </rPr>
      <t>вітки водопостачання.</t>
    </r>
    <r>
      <rPr>
        <sz val="10"/>
        <rFont val="Verdana"/>
        <family val="2"/>
        <charset val="204"/>
      </rPr>
      <t xml:space="preserve"> 
В розцінку включено вивезення демонтованих матеріалів з утилізацією, консервація вітки для подальшого використання, та співпраця з експлуатуючою організацією.</t>
    </r>
  </si>
  <si>
    <r>
      <t xml:space="preserve">Бетон кл. С16/20 - </t>
    </r>
    <r>
      <rPr>
        <b/>
        <sz val="10"/>
        <color theme="1"/>
        <rFont val="Verdana"/>
        <family val="2"/>
        <charset val="204"/>
      </rPr>
      <t>7,36м3</t>
    </r>
    <r>
      <rPr>
        <sz val="10"/>
        <color theme="1"/>
        <rFont val="Verdana"/>
        <family val="2"/>
        <charset val="204"/>
      </rPr>
      <t xml:space="preserve">
Бетон кл. С8/10 -</t>
    </r>
    <r>
      <rPr>
        <b/>
        <sz val="10"/>
        <color theme="1"/>
        <rFont val="Verdana"/>
        <family val="2"/>
        <charset val="204"/>
      </rPr>
      <t>0,89м3,</t>
    </r>
    <r>
      <rPr>
        <sz val="10"/>
        <color theme="1"/>
        <rFont val="Verdana"/>
        <family val="2"/>
        <charset val="204"/>
      </rPr>
      <t xml:space="preserve">
Анкери та каркаси - 203,64кг (94,31+32,08+61,45+15,8).
Гайка М30 -36шт.
Шайба збільшена посилена М30 - 24шт.
Футляр ПВХ50мм -4мп</t>
    </r>
  </si>
  <si>
    <t>люд/дні</t>
  </si>
  <si>
    <r>
      <rPr>
        <sz val="10"/>
        <color rgb="FFFF0000"/>
        <rFont val="Verdana"/>
        <family val="2"/>
        <charset val="204"/>
      </rPr>
      <t>Без збереження матеріалів</t>
    </r>
    <r>
      <rPr>
        <sz val="10"/>
        <color indexed="8"/>
        <rFont val="Verdana"/>
        <family val="2"/>
        <charset val="204"/>
      </rPr>
      <t>, Переміщення у відвал.Включає демонтах існуючих інженерних мереж, клею та плінтусу!</t>
    </r>
    <r>
      <rPr>
        <sz val="10"/>
        <color rgb="FFFF0000"/>
        <rFont val="Verdana"/>
        <family val="2"/>
        <charset val="204"/>
      </rPr>
      <t xml:space="preserve"> (входить у демонтаж стін)</t>
    </r>
  </si>
  <si>
    <t>Додаток №1</t>
  </si>
  <si>
    <t>ЗАМОВНИК
АТ «Концерн Галнафтогаз»
Юр. адреса: 82660, Львівська обл., 
Стрийський р-н, селище Славсько, вул. Івана Франка, буд. 14А
ЄДРПОУ 31729918
Р/р UA963003350000000260062200623
в ПАТ «РАЙФФАЙЗЕН БАНК АВАЛЬ»
м. Київ
МФО 380805
ІПН 317299113060
Представник за довіреністю:   
___________________________ /Дмитрів В.М./
М.П.</t>
  </si>
  <si>
    <t>до договору генерального підряду №КГНГ/00/00-ЧР</t>
  </si>
  <si>
    <t>Реконструкція будівлі операторської з магазином супутніх товарів існуючої автозавправної станції на вулиці Руській, 250-Б в місті Чернівці</t>
  </si>
  <si>
    <t xml:space="preserve">ВИНЕСЕННЯ ІСНУЮЧИХ ІНЖЕНЕРНИХ МЕРЕЖ З ПЛЯМИ ЗАБУДОВИ АЗК </t>
  </si>
  <si>
    <t>ЗОВНІШНІ ІНЖЕНЕРНІ МЕРЕЖІ  АЗК (крім електрики) 
( внутрішньоплощадкові )</t>
  </si>
  <si>
    <r>
      <t xml:space="preserve">Роботи нульового циклу </t>
    </r>
    <r>
      <rPr>
        <b/>
        <sz val="10"/>
        <rFont val="Verdana"/>
        <family val="2"/>
        <charset val="204"/>
      </rPr>
      <t xml:space="preserve">монолітні З/Б фундаменти </t>
    </r>
    <r>
      <rPr>
        <sz val="10"/>
        <rFont val="Verdana"/>
        <family val="2"/>
        <charset val="204"/>
      </rPr>
      <t xml:space="preserve">(влаштування опалубки, закладні, арматурні сітки та каркаси, встановлення гільз, бетонування)
</t>
    </r>
    <r>
      <rPr>
        <b/>
        <sz val="10"/>
        <rFont val="Verdana"/>
        <family val="2"/>
        <charset val="204"/>
      </rPr>
      <t>Згідно проекту 0009-25-1-КБ</t>
    </r>
  </si>
  <si>
    <r>
      <rPr>
        <b/>
        <u/>
        <sz val="10"/>
        <rFont val="Verdana"/>
        <family val="2"/>
        <charset val="204"/>
      </rPr>
      <t>З/б монолітні стрічкові фундаменти:</t>
    </r>
    <r>
      <rPr>
        <sz val="10"/>
        <rFont val="Verdana"/>
        <family val="2"/>
        <charset val="204"/>
      </rPr>
      <t xml:space="preserve">
- бетон С20/25 W8 - </t>
    </r>
    <r>
      <rPr>
        <b/>
        <sz val="10"/>
        <rFont val="Verdana"/>
        <family val="2"/>
        <charset val="204"/>
      </rPr>
      <t xml:space="preserve">52,3 м3
</t>
    </r>
    <r>
      <rPr>
        <b/>
        <u/>
        <sz val="10"/>
        <rFont val="Verdana"/>
        <family val="2"/>
        <charset val="204"/>
      </rPr>
      <t>- Арматура+каркаси+закладні - 2 310 кг., з них:</t>
    </r>
    <r>
      <rPr>
        <b/>
        <sz val="10"/>
        <rFont val="Verdana"/>
        <family val="2"/>
        <charset val="204"/>
      </rPr>
      <t xml:space="preserve">
</t>
    </r>
    <r>
      <rPr>
        <b/>
        <u/>
        <sz val="10"/>
        <rFont val="Verdana"/>
        <family val="2"/>
        <charset val="204"/>
      </rPr>
      <t>КР-1 (32 шт.): 844 кг</t>
    </r>
    <r>
      <rPr>
        <sz val="10"/>
        <rFont val="Verdana"/>
        <family val="2"/>
        <charset val="204"/>
      </rPr>
      <t xml:space="preserve">
</t>
    </r>
    <r>
      <rPr>
        <b/>
        <u/>
        <sz val="10"/>
        <rFont val="Verdana"/>
        <family val="2"/>
        <charset val="204"/>
      </rPr>
      <t>Кп-1 (6 шт.): 102кг</t>
    </r>
    <r>
      <rPr>
        <sz val="10"/>
        <rFont val="Verdana"/>
        <family val="2"/>
        <charset val="204"/>
      </rPr>
      <t xml:space="preserve">
</t>
    </r>
    <r>
      <rPr>
        <b/>
        <u/>
        <sz val="10"/>
        <rFont val="Verdana"/>
        <family val="2"/>
        <charset val="204"/>
      </rPr>
      <t>Кп-2 (9 шт.): 104кг
Кп-3 (7шт.): 39,5 кг</t>
    </r>
    <r>
      <rPr>
        <sz val="10"/>
        <rFont val="Verdana"/>
        <family val="2"/>
        <charset val="204"/>
      </rPr>
      <t xml:space="preserve">
</t>
    </r>
    <r>
      <rPr>
        <b/>
        <u/>
        <sz val="10"/>
        <rFont val="Verdana"/>
        <family val="2"/>
        <charset val="204"/>
      </rPr>
      <t>Зд-1 (9 шт.): 16,2кг</t>
    </r>
    <r>
      <rPr>
        <sz val="10"/>
        <rFont val="Verdana"/>
        <family val="2"/>
        <charset val="204"/>
      </rPr>
      <t xml:space="preserve">
</t>
    </r>
    <r>
      <rPr>
        <b/>
        <u/>
        <sz val="10"/>
        <rFont val="Verdana"/>
        <family val="2"/>
        <charset val="204"/>
      </rPr>
      <t>Сітки:</t>
    </r>
    <r>
      <rPr>
        <sz val="10"/>
        <rFont val="Verdana"/>
        <family val="2"/>
        <charset val="204"/>
      </rPr>
      <t xml:space="preserve">
- О.с.-1: Ø12А400С - </t>
    </r>
    <r>
      <rPr>
        <b/>
        <sz val="10"/>
        <rFont val="Verdana"/>
        <family val="2"/>
        <charset val="204"/>
      </rPr>
      <t>232,8 кг;</t>
    </r>
    <r>
      <rPr>
        <sz val="10"/>
        <rFont val="Verdana"/>
        <family val="2"/>
        <charset val="204"/>
      </rPr>
      <t xml:space="preserve">
- О.с.-2: Ø12А400С -</t>
    </r>
    <r>
      <rPr>
        <b/>
        <sz val="10"/>
        <rFont val="Verdana"/>
        <family val="2"/>
        <charset val="204"/>
      </rPr>
      <t xml:space="preserve"> 140,4 кг;</t>
    </r>
    <r>
      <rPr>
        <sz val="10"/>
        <rFont val="Verdana"/>
        <family val="2"/>
        <charset val="204"/>
      </rPr>
      <t xml:space="preserve">
- О.с.-3: Ø12А400С - </t>
    </r>
    <r>
      <rPr>
        <b/>
        <sz val="10"/>
        <rFont val="Verdana"/>
        <family val="2"/>
        <charset val="204"/>
      </rPr>
      <t>115,7 кг;</t>
    </r>
    <r>
      <rPr>
        <sz val="10"/>
        <rFont val="Verdana"/>
        <family val="2"/>
        <charset val="204"/>
      </rPr>
      <t xml:space="preserve">
- О.с.-4: Ø12А400С - </t>
    </r>
    <r>
      <rPr>
        <b/>
        <sz val="10"/>
        <rFont val="Verdana"/>
        <family val="2"/>
        <charset val="204"/>
      </rPr>
      <t>109 кг;</t>
    </r>
    <r>
      <rPr>
        <sz val="10"/>
        <rFont val="Verdana"/>
        <family val="2"/>
        <charset val="204"/>
      </rPr>
      <t xml:space="preserve">
- О.с.-5: Ø8А400С - </t>
    </r>
    <r>
      <rPr>
        <b/>
        <sz val="10"/>
        <rFont val="Verdana"/>
        <family val="2"/>
        <charset val="204"/>
      </rPr>
      <t>347,6 кг;</t>
    </r>
    <r>
      <rPr>
        <sz val="10"/>
        <rFont val="Verdana"/>
        <family val="2"/>
        <charset val="204"/>
      </rPr>
      <t xml:space="preserve">
- О.с.-6: Ø8А400С - </t>
    </r>
    <r>
      <rPr>
        <b/>
        <sz val="10"/>
        <rFont val="Verdana"/>
        <family val="2"/>
        <charset val="204"/>
      </rPr>
      <t>27 кг;</t>
    </r>
    <r>
      <rPr>
        <sz val="10"/>
        <rFont val="Verdana"/>
        <family val="2"/>
        <charset val="204"/>
      </rPr>
      <t xml:space="preserve">
- О.с.-7: Ø8А400С - </t>
    </r>
    <r>
      <rPr>
        <b/>
        <sz val="10"/>
        <rFont val="Verdana"/>
        <family val="2"/>
        <charset val="204"/>
      </rPr>
      <t>15,2 кг;</t>
    </r>
    <r>
      <rPr>
        <sz val="10"/>
        <rFont val="Verdana"/>
        <family val="2"/>
        <charset val="204"/>
      </rPr>
      <t xml:space="preserve">
- О.с.-8: Ø8А400С -</t>
    </r>
    <r>
      <rPr>
        <b/>
        <sz val="10"/>
        <rFont val="Verdana"/>
        <family val="2"/>
        <charset val="204"/>
      </rPr>
      <t xml:space="preserve"> 21,5 кг;</t>
    </r>
    <r>
      <rPr>
        <sz val="10"/>
        <rFont val="Verdana"/>
        <family val="2"/>
        <charset val="204"/>
      </rPr>
      <t xml:space="preserve">
- О.с.-9: Ø10А400С - </t>
    </r>
    <r>
      <rPr>
        <b/>
        <sz val="10"/>
        <rFont val="Verdana"/>
        <family val="2"/>
        <charset val="204"/>
      </rPr>
      <t>121,7 кг;</t>
    </r>
    <r>
      <rPr>
        <sz val="10"/>
        <rFont val="Verdana"/>
        <family val="2"/>
        <charset val="204"/>
      </rPr>
      <t xml:space="preserve">
- О.с.-10: Ø10А400С - </t>
    </r>
    <r>
      <rPr>
        <b/>
        <sz val="10"/>
        <rFont val="Verdana"/>
        <family val="2"/>
        <charset val="204"/>
      </rPr>
      <t>73,8 кг;</t>
    </r>
    <r>
      <rPr>
        <sz val="10"/>
        <rFont val="Verdana"/>
        <family val="2"/>
        <charset val="204"/>
      </rPr>
      <t xml:space="preserve">
Футляри, опалубка, метизи, вязальний дріт, всі інші розхідники!
</t>
    </r>
    <r>
      <rPr>
        <b/>
        <sz val="10"/>
        <rFont val="Verdana"/>
        <family val="2"/>
        <charset val="204"/>
      </rPr>
      <t>Враховано оренду опалубки на період монтажу, демонтажу та тужавіння бетону!</t>
    </r>
  </si>
  <si>
    <r>
      <t xml:space="preserve">площа покриття - </t>
    </r>
    <r>
      <rPr>
        <b/>
        <sz val="10"/>
        <rFont val="Verdana"/>
        <family val="2"/>
        <charset val="204"/>
      </rPr>
      <t>900м2</t>
    </r>
    <r>
      <rPr>
        <sz val="10"/>
        <rFont val="Verdana"/>
        <family val="2"/>
        <charset val="204"/>
      </rPr>
      <t xml:space="preserve">
</t>
    </r>
    <r>
      <rPr>
        <b/>
        <sz val="10"/>
        <rFont val="Verdana"/>
        <family val="2"/>
        <charset val="204"/>
      </rPr>
      <t>тип 1</t>
    </r>
  </si>
  <si>
    <r>
      <t xml:space="preserve">Площа покриття - </t>
    </r>
    <r>
      <rPr>
        <b/>
        <sz val="10"/>
        <rFont val="Verdana"/>
        <family val="2"/>
        <charset val="204"/>
      </rPr>
      <t>900м2
(спецколір ГРАФІТ)</t>
    </r>
    <r>
      <rPr>
        <sz val="10"/>
        <rFont val="Verdana"/>
        <family val="2"/>
        <charset val="204"/>
      </rPr>
      <t xml:space="preserve">
</t>
    </r>
    <r>
      <rPr>
        <b/>
        <sz val="10"/>
        <rFont val="Verdana"/>
        <family val="2"/>
        <charset val="204"/>
      </rPr>
      <t xml:space="preserve">ОКРЕМЕ ПОГОДЖЕННЯ ТА ТИП ТА ВИРОБНИКА </t>
    </r>
  </si>
  <si>
    <r>
      <t xml:space="preserve">площа покриття - </t>
    </r>
    <r>
      <rPr>
        <b/>
        <sz val="10"/>
        <rFont val="Verdana"/>
        <family val="2"/>
        <charset val="204"/>
      </rPr>
      <t>300м2
тип 2</t>
    </r>
  </si>
  <si>
    <r>
      <t xml:space="preserve">площа покриття - </t>
    </r>
    <r>
      <rPr>
        <b/>
        <sz val="10"/>
        <rFont val="Verdana"/>
        <family val="2"/>
        <charset val="204"/>
      </rPr>
      <t>290м2</t>
    </r>
    <r>
      <rPr>
        <sz val="10"/>
        <rFont val="Verdana"/>
        <family val="2"/>
        <charset val="204"/>
      </rPr>
      <t xml:space="preserve">
</t>
    </r>
    <r>
      <rPr>
        <b/>
        <sz val="10"/>
        <rFont val="Verdana"/>
        <family val="2"/>
        <charset val="204"/>
      </rPr>
      <t xml:space="preserve">ОКРЕМЕ ПОГОДЖЕННЯ ТА ТИП ТА ВИРОБНИКА </t>
    </r>
  </si>
  <si>
    <r>
      <t xml:space="preserve">площа покриття - </t>
    </r>
    <r>
      <rPr>
        <b/>
        <sz val="10"/>
        <rFont val="Verdana"/>
        <family val="2"/>
        <charset val="204"/>
      </rPr>
      <t>10м2</t>
    </r>
    <r>
      <rPr>
        <sz val="10"/>
        <rFont val="Verdana"/>
        <family val="2"/>
        <charset val="204"/>
      </rPr>
      <t xml:space="preserve">  ( </t>
    </r>
    <r>
      <rPr>
        <b/>
        <sz val="10"/>
        <rFont val="Verdana"/>
        <family val="2"/>
        <charset val="204"/>
      </rPr>
      <t>тактильна )</t>
    </r>
    <r>
      <rPr>
        <sz val="10"/>
        <rFont val="Verdana"/>
        <family val="2"/>
        <charset val="204"/>
      </rPr>
      <t xml:space="preserve">
</t>
    </r>
    <r>
      <rPr>
        <b/>
        <sz val="10"/>
        <rFont val="Verdana"/>
        <family val="2"/>
        <charset val="204"/>
      </rPr>
      <t>тип 2</t>
    </r>
  </si>
  <si>
    <t>ФЕМ "ГАНТЕЛЬ" 8см (спецколір ГРАФІТ)ПОКРИТТЯ АЗК (тип-2) t= 65см</t>
  </si>
  <si>
    <t>Дорожне покриття з Бетону (ВЛАСНЕ ОДИНАРНЕ АРМУВАННЯ  Ø10 А400К, чарунка 200х200 мм)</t>
  </si>
  <si>
    <r>
      <t xml:space="preserve">Відповідальність Підрядника
</t>
    </r>
    <r>
      <rPr>
        <b/>
        <sz val="9"/>
        <color rgb="FF000000"/>
        <rFont val="Verdana"/>
        <family val="2"/>
        <charset val="204"/>
      </rPr>
      <t>Окреме погоження
Замовника</t>
    </r>
  </si>
  <si>
    <r>
      <t xml:space="preserve">ФЕМ "РОМАНО" 6см (сіра) </t>
    </r>
    <r>
      <rPr>
        <b/>
        <sz val="12"/>
        <color rgb="FF0000FF"/>
        <rFont val="Verdana"/>
        <family val="2"/>
        <charset val="204"/>
      </rPr>
      <t xml:space="preserve">ПОКРИТТЯ АЗК  </t>
    </r>
    <r>
      <rPr>
        <b/>
        <sz val="12"/>
        <color indexed="12"/>
        <rFont val="Verdana"/>
        <family val="2"/>
        <charset val="204"/>
      </rPr>
      <t>Пішохідні доріжки t=32см</t>
    </r>
  </si>
  <si>
    <r>
      <t>Поребрики -</t>
    </r>
    <r>
      <rPr>
        <b/>
        <sz val="10"/>
        <rFont val="Verdana"/>
        <family val="2"/>
        <charset val="204"/>
      </rPr>
      <t xml:space="preserve"> 200мп.</t>
    </r>
    <r>
      <rPr>
        <sz val="10"/>
        <rFont val="Verdana"/>
        <family val="2"/>
        <charset val="204"/>
      </rPr>
      <t xml:space="preserve">
бетон 0,039м3/м.п
основа з щебню 0,036м3/мп</t>
    </r>
  </si>
  <si>
    <t xml:space="preserve">кількість -8шт +2 в залі 1м*1,5м </t>
  </si>
  <si>
    <r>
      <t>Острівків -</t>
    </r>
    <r>
      <rPr>
        <b/>
        <sz val="10"/>
        <rFont val="Verdana"/>
        <family val="2"/>
        <charset val="204"/>
      </rPr>
      <t xml:space="preserve"> 2 шт.</t>
    </r>
    <r>
      <rPr>
        <sz val="10"/>
        <rFont val="Verdana"/>
        <family val="2"/>
        <charset val="204"/>
      </rPr>
      <t xml:space="preserve"> - периметр </t>
    </r>
    <r>
      <rPr>
        <b/>
        <sz val="10"/>
        <rFont val="Verdana"/>
        <family val="2"/>
        <charset val="204"/>
      </rPr>
      <t>32,4 м.п.</t>
    </r>
    <r>
      <rPr>
        <sz val="10"/>
        <rFont val="Verdana"/>
        <family val="2"/>
        <charset val="204"/>
      </rPr>
      <t xml:space="preserve">
ОС-1 (1 шт.) - периметр </t>
    </r>
    <r>
      <rPr>
        <b/>
        <sz val="10"/>
        <rFont val="Verdana"/>
        <family val="2"/>
        <charset val="204"/>
      </rPr>
      <t xml:space="preserve">16,2 м.п.
</t>
    </r>
    <r>
      <rPr>
        <sz val="10"/>
        <rFont val="Verdana"/>
        <family val="2"/>
        <charset val="204"/>
      </rPr>
      <t>ОС-1 (1 шт.) - периметр</t>
    </r>
    <r>
      <rPr>
        <b/>
        <sz val="10"/>
        <rFont val="Verdana"/>
        <family val="2"/>
        <charset val="204"/>
      </rPr>
      <t xml:space="preserve"> 16,2 м.п.
</t>
    </r>
  </si>
  <si>
    <r>
      <t xml:space="preserve">довжина фрезерування - </t>
    </r>
    <r>
      <rPr>
        <b/>
        <sz val="10"/>
        <rFont val="Verdana"/>
        <family val="2"/>
        <charset val="204"/>
      </rPr>
      <t>75 м.п.</t>
    </r>
    <r>
      <rPr>
        <sz val="10"/>
        <rFont val="Verdana"/>
        <family val="2"/>
        <charset val="204"/>
      </rPr>
      <t xml:space="preserve"> Ширина фрезерування - до 50см.</t>
    </r>
  </si>
  <si>
    <r>
      <t xml:space="preserve">Гідроізоляція в два шари в т.ч. напуски: вертикальна  - </t>
    </r>
    <r>
      <rPr>
        <b/>
        <sz val="10"/>
        <rFont val="Verdana"/>
        <family val="2"/>
        <charset val="204"/>
      </rPr>
      <t>180м2</t>
    </r>
    <r>
      <rPr>
        <sz val="10"/>
        <rFont val="Verdana"/>
        <family val="2"/>
        <charset val="204"/>
      </rPr>
      <t xml:space="preserve">
(90 х 2) = 180м2
фундамента та зовнішніх монолітних стін! бітумна мастика - 270л.</t>
    </r>
  </si>
  <si>
    <t xml:space="preserve">Демонтаж покриття з ФЕМ
(враховане чищення та складування ФЕМ) </t>
  </si>
  <si>
    <r>
      <t>Кількість - 1</t>
    </r>
    <r>
      <rPr>
        <b/>
        <sz val="10"/>
        <color rgb="FF000000"/>
        <rFont val="Verdana"/>
        <family val="2"/>
        <charset val="204"/>
      </rPr>
      <t xml:space="preserve"> послуги</t>
    </r>
    <r>
      <rPr>
        <sz val="10"/>
        <color indexed="8"/>
        <rFont val="Verdana"/>
        <family val="2"/>
        <charset val="204"/>
      </rPr>
      <t xml:space="preserve">
Споруди - 1 компл. Всі осі закріпляються металевими кілками та виконуються виноски.</t>
    </r>
  </si>
  <si>
    <t>кількість стрічки 40Х4 -115м.п, 25*4 - 20 м.п, електрод Д20мм-10шт*3м
приварювання до колон, та до інших контурів</t>
  </si>
  <si>
    <r>
      <t xml:space="preserve">Загальний об'єм засипки піском в ущільненому стані - </t>
    </r>
    <r>
      <rPr>
        <b/>
        <sz val="10"/>
        <rFont val="Verdana"/>
        <family val="2"/>
        <charset val="204"/>
      </rPr>
      <t>134м3</t>
    </r>
  </si>
  <si>
    <r>
      <rPr>
        <b/>
        <sz val="10"/>
        <color rgb="FF000000"/>
        <rFont val="Verdana"/>
        <family val="2"/>
        <charset val="204"/>
      </rPr>
      <t>Включно з реєстром:</t>
    </r>
    <r>
      <rPr>
        <sz val="10"/>
        <color indexed="8"/>
        <rFont val="Verdana"/>
        <family val="2"/>
        <charset val="204"/>
      </rPr>
      <t xml:space="preserve">
Документація на АЗК -</t>
    </r>
    <r>
      <rPr>
        <b/>
        <sz val="10"/>
        <color rgb="FF000000"/>
        <rFont val="Verdana"/>
        <family val="2"/>
        <charset val="204"/>
      </rPr>
      <t xml:space="preserve"> 1 компл.</t>
    </r>
    <r>
      <rPr>
        <sz val="10"/>
        <color indexed="8"/>
        <rFont val="Verdana"/>
        <family val="2"/>
        <charset val="204"/>
      </rPr>
      <t xml:space="preserve">
</t>
    </r>
  </si>
  <si>
    <r>
      <rPr>
        <b/>
        <sz val="10"/>
        <rFont val="Verdana"/>
        <family val="2"/>
        <charset val="204"/>
      </rPr>
      <t xml:space="preserve">Горизонтально направлене буріння
Зовнішній Водопровід В-1.
</t>
    </r>
    <r>
      <rPr>
        <sz val="10"/>
        <rFont val="Verdana"/>
        <family val="2"/>
        <charset val="204"/>
      </rPr>
      <t xml:space="preserve">Прокладання футляру для влаштуваня
проходу водопроводу.
</t>
    </r>
    <r>
      <rPr>
        <b/>
        <u/>
        <sz val="10"/>
        <rFont val="Verdana"/>
        <family val="2"/>
        <charset val="204"/>
      </rPr>
      <t>Враховано земляні роботи для виконання проколів! (розробка та засипка котлованів)</t>
    </r>
  </si>
  <si>
    <r>
      <t>Площа покриття з декоративного
щебеню -</t>
    </r>
    <r>
      <rPr>
        <b/>
        <sz val="10"/>
        <rFont val="Verdana"/>
        <family val="2"/>
        <charset val="204"/>
      </rPr>
      <t>300м2</t>
    </r>
    <r>
      <rPr>
        <sz val="10"/>
        <rFont val="Verdana"/>
        <family val="2"/>
        <charset val="204"/>
      </rPr>
      <t xml:space="preserve">
використовується грунт, існує та розпланований на будівельному майданчику.</t>
    </r>
  </si>
  <si>
    <t xml:space="preserve">площа покриття -300 м2 </t>
  </si>
  <si>
    <r>
      <rPr>
        <b/>
        <u/>
        <sz val="10"/>
        <rFont val="Verdana"/>
        <family val="2"/>
        <charset val="204"/>
      </rPr>
      <t>ПР-1 (1 шт.), ПР-2 (1 шт), ПР-3 (1 шт.):</t>
    </r>
    <r>
      <rPr>
        <sz val="10"/>
        <rFont val="Verdana"/>
        <family val="2"/>
        <charset val="204"/>
      </rPr>
      <t xml:space="preserve">
Бетон кл. С16/20 - </t>
    </r>
    <r>
      <rPr>
        <b/>
        <sz val="10"/>
        <rFont val="Verdana"/>
        <family val="2"/>
        <charset val="204"/>
      </rPr>
      <t>1,6 м3</t>
    </r>
    <r>
      <rPr>
        <sz val="10"/>
        <rFont val="Verdana"/>
        <family val="2"/>
        <charset val="204"/>
      </rPr>
      <t xml:space="preserve">
Бетон кл. С8/10 - </t>
    </r>
    <r>
      <rPr>
        <b/>
        <sz val="10"/>
        <rFont val="Verdana"/>
        <family val="2"/>
        <charset val="204"/>
      </rPr>
      <t>0,4м3</t>
    </r>
    <r>
      <rPr>
        <sz val="10"/>
        <rFont val="Verdana"/>
        <family val="2"/>
        <charset val="204"/>
      </rPr>
      <t xml:space="preserve">
кришки приям. та закладні - 110кг (кутники, армування та алюмінієві рифлені листи з ручками прихованого виконання.</t>
    </r>
  </si>
  <si>
    <r>
      <t xml:space="preserve">Устого піску - </t>
    </r>
    <r>
      <rPr>
        <b/>
        <sz val="10"/>
        <rFont val="Verdana"/>
        <family val="2"/>
        <charset val="204"/>
      </rPr>
      <t xml:space="preserve">15м3 </t>
    </r>
    <r>
      <rPr>
        <sz val="10"/>
        <rFont val="Verdana"/>
        <family val="2"/>
        <charset val="204"/>
      </rPr>
      <t xml:space="preserve">
(площа покриття -300 м2) </t>
    </r>
  </si>
  <si>
    <r>
      <t xml:space="preserve">площа покриття - </t>
    </r>
    <r>
      <rPr>
        <b/>
        <sz val="10"/>
        <rFont val="Verdana"/>
        <family val="2"/>
        <charset val="204"/>
      </rPr>
      <t>300 м2</t>
    </r>
    <r>
      <rPr>
        <sz val="10"/>
        <rFont val="Verdana"/>
        <family val="2"/>
        <charset val="204"/>
      </rPr>
      <t xml:space="preserve"> 
(агроволокно щ. 50 г/м2 білого кольору)</t>
    </r>
  </si>
  <si>
    <t xml:space="preserve">Вертикальне планування чистове 
(планування площ вручну та механізованим способом, підготовка верхнього шару грунту під декоративне покриття - 12 см)
*передбачається робота з грунтом в межах будмайданчику з механічним та ручним плануванням. Розрівнювання та планування площ, формування відкосів.   </t>
  </si>
  <si>
    <r>
      <t xml:space="preserve">Загальна площа планування - </t>
    </r>
    <r>
      <rPr>
        <b/>
        <sz val="10"/>
        <rFont val="Verdana"/>
        <family val="2"/>
        <charset val="204"/>
      </rPr>
      <t>900м2.</t>
    </r>
    <r>
      <rPr>
        <sz val="10"/>
        <rFont val="Verdana"/>
        <family val="2"/>
        <charset val="204"/>
      </rPr>
      <t xml:space="preserve">
(150+150+300+300) = 900
</t>
    </r>
    <r>
      <rPr>
        <b/>
        <sz val="10"/>
        <rFont val="Verdana"/>
        <family val="2"/>
        <charset val="204"/>
      </rPr>
      <t>Тільки в місцях проїздів.</t>
    </r>
  </si>
  <si>
    <r>
      <rPr>
        <b/>
        <u/>
        <sz val="10"/>
        <rFont val="Verdana"/>
        <family val="2"/>
        <charset val="204"/>
      </rPr>
      <t>Розробка грунту.</t>
    </r>
    <r>
      <rPr>
        <sz val="10"/>
        <rFont val="Verdana"/>
        <family val="2"/>
        <charset val="204"/>
      </rPr>
      <t xml:space="preserve"> Розробка корита під влаштування дорожнього одягу.
Зняття, завантаження для перевезення та послідуючого складування на будівельному майданчику.</t>
    </r>
  </si>
  <si>
    <r>
      <t xml:space="preserve">Кількість острівків ПРК - </t>
    </r>
    <r>
      <rPr>
        <b/>
        <sz val="10"/>
        <rFont val="Verdana"/>
        <family val="2"/>
        <charset val="204"/>
      </rPr>
      <t xml:space="preserve">2 шт. </t>
    </r>
    <r>
      <rPr>
        <sz val="10"/>
        <rFont val="Verdana"/>
        <family val="2"/>
        <charset val="204"/>
      </rPr>
      <t xml:space="preserve">
Обєм бетону: </t>
    </r>
    <r>
      <rPr>
        <b/>
        <sz val="10"/>
        <rFont val="Verdana"/>
        <family val="2"/>
        <charset val="204"/>
      </rPr>
      <t xml:space="preserve">ОС-1 ; ОС-2  = 2,5 м3. 
</t>
    </r>
    <r>
      <rPr>
        <sz val="10"/>
        <rFont val="Verdana"/>
        <family val="2"/>
        <charset val="204"/>
      </rPr>
      <t xml:space="preserve">Арматура Ø10; 12 </t>
    </r>
    <r>
      <rPr>
        <b/>
        <sz val="10"/>
        <rFont val="Verdana"/>
        <family val="2"/>
        <charset val="204"/>
      </rPr>
      <t xml:space="preserve">- 180кг
</t>
    </r>
    <r>
      <rPr>
        <sz val="10"/>
        <rFont val="Verdana"/>
        <family val="2"/>
        <charset val="204"/>
      </rPr>
      <t>облицювання керамічною плиткою - 35м2
(вартість плитки</t>
    </r>
    <r>
      <rPr>
        <b/>
        <sz val="10"/>
        <rFont val="Verdana"/>
        <family val="2"/>
        <charset val="204"/>
      </rPr>
      <t xml:space="preserve"> </t>
    </r>
    <r>
      <rPr>
        <sz val="10"/>
        <rFont val="Verdana"/>
        <family val="2"/>
        <charset val="204"/>
      </rPr>
      <t>враховано в роділі сантехніка)</t>
    </r>
  </si>
  <si>
    <r>
      <t xml:space="preserve">Демонтаж кабелю - </t>
    </r>
    <r>
      <rPr>
        <b/>
        <sz val="10"/>
        <rFont val="Verdana"/>
        <family val="2"/>
        <charset val="204"/>
      </rPr>
      <t>50мп</t>
    </r>
    <r>
      <rPr>
        <sz val="10"/>
        <rFont val="Verdana"/>
        <family val="2"/>
        <charset val="204"/>
      </rPr>
      <t>, 
Відключення від КТП, ДГ, Навіс, тощо ...
Окреме погодження замовника</t>
    </r>
  </si>
  <si>
    <t>Демонтаж існуючих зовнішніх інвертарних складів.
В розцінку включено вивезення демонтованих матеріалів з утилізацією.</t>
  </si>
  <si>
    <t>Ущільнення основи перед влаштування чорнової монолітної підлоги операторної. Загальна площа ущільнення становить - 291 м2.</t>
  </si>
  <si>
    <t>Влаштування щебеневої подушки h=100мм
( 291м х 0,3м ) = 87,3м3</t>
  </si>
  <si>
    <t>Гідроізоляція в два шари в т.ч. напуски: горизонтальна - 350м2
Бітумна мастика -585л</t>
  </si>
  <si>
    <t>Стяжка М200 - 50мм
армована м. сіткою d=4мм  ВрI 
ПСБ-35 -10см (50+50мм)</t>
  </si>
  <si>
    <t>ПІДГОТОВЧІ РОБОТИ, ТИМЧАСОВІ, ПЕРЕБАЗУВАННЯ,  ВІДРЯДНІ</t>
  </si>
  <si>
    <r>
      <rPr>
        <b/>
        <u/>
        <sz val="10"/>
        <rFont val="Verdana"/>
        <family val="2"/>
        <charset val="204"/>
      </rPr>
      <t>Всього маса з врах. напл. металу, відходів та уточнення маси</t>
    </r>
    <r>
      <rPr>
        <b/>
        <sz val="10"/>
        <rFont val="Verdana"/>
        <family val="2"/>
        <charset val="204"/>
      </rPr>
      <t xml:space="preserve"> -</t>
    </r>
    <r>
      <rPr>
        <b/>
        <u/>
        <sz val="10"/>
        <rFont val="Verdana"/>
        <family val="2"/>
        <charset val="204"/>
      </rPr>
      <t xml:space="preserve"> 5,97 т., </t>
    </r>
    <r>
      <rPr>
        <sz val="10"/>
        <rFont val="Verdana"/>
        <family val="2"/>
        <charset val="204"/>
      </rPr>
      <t>в т.ч.:</t>
    </r>
    <r>
      <rPr>
        <b/>
        <u/>
        <sz val="10"/>
        <rFont val="Verdana"/>
        <family val="2"/>
        <charset val="204"/>
      </rPr>
      <t xml:space="preserve">
</t>
    </r>
    <r>
      <rPr>
        <b/>
        <sz val="10"/>
        <rFont val="Verdana"/>
        <family val="2"/>
        <charset val="204"/>
      </rPr>
      <t>Колони:</t>
    </r>
    <r>
      <rPr>
        <sz val="10"/>
        <rFont val="Verdana"/>
        <family val="2"/>
        <charset val="204"/>
      </rPr>
      <t xml:space="preserve"> К-1 ÷ К-13, 
Маса загальна - (3406,7кг) - </t>
    </r>
    <r>
      <rPr>
        <b/>
        <sz val="10"/>
        <rFont val="Verdana"/>
        <family val="2"/>
        <charset val="204"/>
      </rPr>
      <t>3,41т</t>
    </r>
    <r>
      <rPr>
        <sz val="10"/>
        <rFont val="Verdana"/>
        <family val="2"/>
        <charset val="204"/>
      </rPr>
      <t xml:space="preserve">;
</t>
    </r>
    <r>
      <rPr>
        <b/>
        <sz val="10"/>
        <rFont val="Verdana"/>
        <family val="2"/>
        <charset val="204"/>
      </rPr>
      <t xml:space="preserve">Ригелі стінові: </t>
    </r>
    <r>
      <rPr>
        <sz val="10"/>
        <rFont val="Verdana"/>
        <family val="2"/>
        <charset val="204"/>
      </rPr>
      <t xml:space="preserve">Рс-1 ÷ Рс-4;
Маса загальна - (1848кг) - </t>
    </r>
    <r>
      <rPr>
        <b/>
        <sz val="10"/>
        <rFont val="Verdana"/>
        <family val="2"/>
        <charset val="204"/>
      </rPr>
      <t xml:space="preserve">1,85т;
Вертикальні стійки: Ст-1, Ск-1;
</t>
    </r>
    <r>
      <rPr>
        <sz val="10"/>
        <rFont val="Verdana"/>
        <family val="2"/>
        <charset val="204"/>
      </rPr>
      <t xml:space="preserve">Маса загальна - (406,5кг) - </t>
    </r>
    <r>
      <rPr>
        <b/>
        <sz val="10"/>
        <rFont val="Verdana"/>
        <family val="2"/>
        <charset val="204"/>
      </rPr>
      <t>0,41т</t>
    </r>
    <r>
      <rPr>
        <sz val="10"/>
        <rFont val="Verdana"/>
        <family val="2"/>
        <charset val="204"/>
      </rPr>
      <t>;</t>
    </r>
    <r>
      <rPr>
        <b/>
        <u/>
        <sz val="10"/>
        <rFont val="Verdana"/>
        <family val="2"/>
        <charset val="204"/>
      </rPr>
      <t xml:space="preserve">
</t>
    </r>
    <r>
      <rPr>
        <b/>
        <sz val="10"/>
        <rFont val="Verdana"/>
        <family val="2"/>
        <charset val="204"/>
      </rPr>
      <t xml:space="preserve">Вертикальні зв'язки, деталі: </t>
    </r>
    <r>
      <rPr>
        <sz val="10"/>
        <rFont val="Verdana"/>
        <family val="2"/>
        <charset val="204"/>
      </rPr>
      <t xml:space="preserve">Вз-1 ÷ Вз-2;
Маса загальна - (292,3кг) - </t>
    </r>
    <r>
      <rPr>
        <b/>
        <sz val="10"/>
        <rFont val="Verdana"/>
        <family val="2"/>
        <charset val="204"/>
      </rPr>
      <t>0,3т;</t>
    </r>
    <r>
      <rPr>
        <u/>
        <sz val="10"/>
        <rFont val="Verdana"/>
        <family val="2"/>
        <charset val="204"/>
      </rPr>
      <t xml:space="preserve">
</t>
    </r>
    <r>
      <rPr>
        <b/>
        <sz val="10"/>
        <rFont val="Verdana"/>
        <family val="2"/>
        <charset val="204"/>
      </rPr>
      <t>(грунтування, фарбування RAL 7047)</t>
    </r>
  </si>
  <si>
    <r>
      <rPr>
        <b/>
        <u/>
        <sz val="10"/>
        <rFont val="Verdana"/>
        <family val="2"/>
        <charset val="204"/>
      </rPr>
      <t>Всього маса з врах. напл. металу, відходів та уточнення маси - 14,6т.,</t>
    </r>
    <r>
      <rPr>
        <sz val="10"/>
        <rFont val="Verdana"/>
        <family val="2"/>
        <charset val="204"/>
      </rPr>
      <t xml:space="preserve"> в т. ч.:
</t>
    </r>
    <r>
      <rPr>
        <b/>
        <sz val="10"/>
        <rFont val="Verdana"/>
        <family val="2"/>
        <charset val="204"/>
      </rPr>
      <t>Балки:</t>
    </r>
    <r>
      <rPr>
        <sz val="10"/>
        <rFont val="Verdana"/>
        <family val="2"/>
        <charset val="204"/>
      </rPr>
      <t xml:space="preserve"> Б-1 ÷ Б-13;
Маса загальна - (4799,2кг) - </t>
    </r>
    <r>
      <rPr>
        <b/>
        <sz val="10"/>
        <rFont val="Verdana"/>
        <family val="2"/>
        <charset val="204"/>
      </rPr>
      <t>4,8т ;</t>
    </r>
    <r>
      <rPr>
        <b/>
        <u/>
        <sz val="10"/>
        <rFont val="Verdana"/>
        <family val="2"/>
        <charset val="204"/>
      </rPr>
      <t xml:space="preserve">
</t>
    </r>
    <r>
      <rPr>
        <b/>
        <sz val="10"/>
        <rFont val="Verdana"/>
        <family val="2"/>
        <charset val="204"/>
      </rPr>
      <t>Прогони:</t>
    </r>
    <r>
      <rPr>
        <sz val="10"/>
        <rFont val="Verdana"/>
        <family val="2"/>
        <charset val="204"/>
      </rPr>
      <t xml:space="preserve"> Пр-1 ÷ Пр-12;
Маса загальна - (5628,1кг) - </t>
    </r>
    <r>
      <rPr>
        <b/>
        <sz val="10"/>
        <rFont val="Verdana"/>
        <family val="2"/>
        <charset val="204"/>
      </rPr>
      <t>5,63т ;</t>
    </r>
    <r>
      <rPr>
        <b/>
        <u/>
        <sz val="10"/>
        <rFont val="Verdana"/>
        <family val="2"/>
        <charset val="204"/>
      </rPr>
      <t xml:space="preserve">
</t>
    </r>
    <r>
      <rPr>
        <b/>
        <sz val="10"/>
        <rFont val="Verdana"/>
        <family val="2"/>
        <charset val="204"/>
      </rPr>
      <t>Горизонтальні зв'язки:</t>
    </r>
    <r>
      <rPr>
        <sz val="10"/>
        <rFont val="Verdana"/>
        <family val="2"/>
        <charset val="204"/>
      </rPr>
      <t xml:space="preserve"> Гз-1÷Гз-12;
Маса загальна - (791,2кг) - </t>
    </r>
    <r>
      <rPr>
        <b/>
        <sz val="10"/>
        <rFont val="Verdana"/>
        <family val="2"/>
        <charset val="204"/>
      </rPr>
      <t>0,8т ;</t>
    </r>
    <r>
      <rPr>
        <b/>
        <u/>
        <sz val="10"/>
        <rFont val="Verdana"/>
        <family val="2"/>
        <charset val="204"/>
      </rPr>
      <t xml:space="preserve">
</t>
    </r>
    <r>
      <rPr>
        <b/>
        <sz val="10"/>
        <rFont val="Verdana"/>
        <family val="2"/>
        <charset val="204"/>
      </rPr>
      <t>Рама кондиціонерів:</t>
    </r>
    <r>
      <rPr>
        <sz val="10"/>
        <rFont val="Verdana"/>
        <family val="2"/>
        <charset val="204"/>
      </rPr>
      <t xml:space="preserve"> Рк-1 ÷ Рк-2 ; 
Маса загальна - (247кг) - </t>
    </r>
    <r>
      <rPr>
        <b/>
        <sz val="10"/>
        <rFont val="Verdana"/>
        <family val="2"/>
        <charset val="204"/>
      </rPr>
      <t>0,25т ;</t>
    </r>
    <r>
      <rPr>
        <b/>
        <u/>
        <sz val="10"/>
        <rFont val="Verdana"/>
        <family val="2"/>
        <charset val="204"/>
      </rPr>
      <t xml:space="preserve">
</t>
    </r>
    <r>
      <rPr>
        <b/>
        <sz val="10"/>
        <rFont val="Verdana"/>
        <family val="2"/>
        <charset val="204"/>
      </rPr>
      <t>Драбина:</t>
    </r>
    <r>
      <rPr>
        <sz val="10"/>
        <rFont val="Verdana"/>
        <family val="2"/>
        <charset val="204"/>
      </rPr>
      <t xml:space="preserve"> Дм-1;
Маса загальна - ( 74,8кг ) - </t>
    </r>
    <r>
      <rPr>
        <b/>
        <sz val="10"/>
        <rFont val="Verdana"/>
        <family val="2"/>
        <charset val="204"/>
      </rPr>
      <t>0,07т ;
Опорні пластини, кутники 66,4кг</t>
    </r>
    <r>
      <rPr>
        <sz val="10"/>
        <rFont val="Verdana"/>
        <family val="2"/>
        <charset val="204"/>
      </rPr>
      <t xml:space="preserve">
</t>
    </r>
    <r>
      <rPr>
        <b/>
        <sz val="10"/>
        <rFont val="Verdana"/>
        <family val="2"/>
        <charset val="204"/>
      </rPr>
      <t>(грунтування, фарбування RAL 7047)</t>
    </r>
  </si>
  <si>
    <r>
      <t xml:space="preserve">Покриття операторної сендвіч-панелями </t>
    </r>
    <r>
      <rPr>
        <b/>
        <sz val="10"/>
        <rFont val="Verdana"/>
        <family val="2"/>
        <charset val="204"/>
      </rPr>
      <t>Kingspan "KS 1000 X-Dek  140-248 мм</t>
    </r>
    <r>
      <rPr>
        <sz val="10"/>
        <rFont val="Verdana"/>
        <family val="2"/>
        <charset val="204"/>
      </rPr>
      <t xml:space="preserve"> (або Ruukki або Балекс). Вказати виробника. Колір стелі RAL 9002. Коефіцієнти перерозходу матеріалів враховані у матеріальній складовій розцінки. Замовлення за 60 днів до монтажу.</t>
    </r>
  </si>
  <si>
    <r>
      <t xml:space="preserve">Профільна труба 60*40*3 - 1500мп (690кг)
(проєми, закладні під навісне обладнання)
Кріпильні і зварювальні роботи !
Виготовленя дощеприймальних лотків - 3шт.
Сталь листова: 
Л1- </t>
    </r>
    <r>
      <rPr>
        <b/>
        <sz val="10"/>
        <rFont val="Verdana"/>
        <family val="2"/>
        <charset val="204"/>
      </rPr>
      <t xml:space="preserve">44,8кг.; </t>
    </r>
    <r>
      <rPr>
        <sz val="10"/>
        <rFont val="Verdana"/>
        <family val="2"/>
        <charset val="204"/>
      </rPr>
      <t xml:space="preserve">Л2 </t>
    </r>
    <r>
      <rPr>
        <b/>
        <sz val="10"/>
        <rFont val="Verdana"/>
        <family val="2"/>
        <charset val="204"/>
      </rPr>
      <t xml:space="preserve">- 88,5кг.; </t>
    </r>
    <r>
      <rPr>
        <sz val="10"/>
        <rFont val="Verdana"/>
        <family val="2"/>
        <charset val="204"/>
      </rPr>
      <t xml:space="preserve">Л2 </t>
    </r>
    <r>
      <rPr>
        <b/>
        <sz val="10"/>
        <rFont val="Verdana"/>
        <family val="2"/>
        <charset val="204"/>
      </rPr>
      <t>- 44,8кг.; 
Окреме погодження замовника!</t>
    </r>
  </si>
  <si>
    <r>
      <t>Стіни зовнішні + парапети. Висота всіх панелнй - 5,2 м. Площа панелей обчислюється за виключенням отворів для вікон та дверей.</t>
    </r>
    <r>
      <rPr>
        <b/>
        <sz val="10"/>
        <rFont val="Verdana"/>
        <family val="2"/>
        <charset val="204"/>
      </rPr>
      <t xml:space="preserve"> "Balex Metal PIR Plus 120 мм</t>
    </r>
    <r>
      <rPr>
        <sz val="10"/>
        <rFont val="Verdana"/>
        <family val="2"/>
        <charset val="204"/>
      </rPr>
      <t xml:space="preserve"> (або Кінгспан або Ruukki). Вказати виробника. Коефіцієнти перерозходу матеріалів враховані у матеріальній складовій розцінки.</t>
    </r>
  </si>
  <si>
    <r>
      <rPr>
        <b/>
        <u/>
        <sz val="10"/>
        <rFont val="Verdana"/>
        <family val="2"/>
        <charset val="204"/>
      </rPr>
      <t>Усього панелей - 356м2</t>
    </r>
    <r>
      <rPr>
        <b/>
        <sz val="10"/>
        <rFont val="Verdana"/>
        <family val="2"/>
        <charset val="204"/>
      </rPr>
      <t xml:space="preserve">
</t>
    </r>
    <r>
      <rPr>
        <u/>
        <sz val="10"/>
        <rFont val="Verdana"/>
        <family val="2"/>
        <charset val="204"/>
      </rPr>
      <t>Зовнішні стіни операторної+парапети</t>
    </r>
    <r>
      <rPr>
        <b/>
        <u/>
        <sz val="10"/>
        <rFont val="Verdana"/>
        <family val="2"/>
        <charset val="204"/>
      </rPr>
      <t xml:space="preserve"> </t>
    </r>
    <r>
      <rPr>
        <b/>
        <sz val="10"/>
        <rFont val="Verdana"/>
        <family val="2"/>
        <charset val="204"/>
      </rPr>
      <t>- 356м2 - RAL 7024/9002</t>
    </r>
    <r>
      <rPr>
        <sz val="10"/>
        <rFont val="Verdana"/>
        <family val="2"/>
        <charset val="204"/>
      </rPr>
      <t xml:space="preserve">
Сендвіч панелі 120мм, пінополіуретан (Kingspan, Balex, Ruukki) Влаштування віконних та дверних прорізів з обрамленням декоративними планками з вальцюванням шириною на фасаді -100мм. Монтаж спец. планок товщиною 0,55мм із вальцюванням. Всі кріпильні елементи, герметики, монтажна піна включені в складову матеріалів.</t>
    </r>
  </si>
  <si>
    <t>Тимчасове огородження території 
(Влаштування, утримання та демонтаж)
трикратна оборотність</t>
  </si>
  <si>
    <t>Зрізання дерев. Отримання акту обстеження, ордеру (договору) - включено в графу інших витрат. В розцінку включені дерева діаметром від 20см до 40 см.</t>
  </si>
  <si>
    <t>Облаштування будівельного майданчику. Біотуалет для клієнтів АЗС.</t>
  </si>
  <si>
    <r>
      <t xml:space="preserve">по факту одиниць - </t>
    </r>
    <r>
      <rPr>
        <b/>
        <sz val="10"/>
        <rFont val="Verdana"/>
        <family val="2"/>
        <charset val="204"/>
      </rPr>
      <t xml:space="preserve"> 4 шт.</t>
    </r>
    <r>
      <rPr>
        <sz val="10"/>
        <rFont val="Verdana"/>
        <family val="2"/>
        <charset val="204"/>
      </rPr>
      <t xml:space="preserve">
(монтаж, експлуатація, демонтаж, перевезення)</t>
    </r>
  </si>
  <si>
    <r>
      <t>Об'єм шурфування вручну -</t>
    </r>
    <r>
      <rPr>
        <b/>
        <sz val="10"/>
        <color rgb="FF000000"/>
        <rFont val="Verdana"/>
        <family val="2"/>
        <charset val="204"/>
      </rPr>
      <t>50м3</t>
    </r>
  </si>
  <si>
    <r>
      <t xml:space="preserve">Стіни, стеля і підлога </t>
    </r>
    <r>
      <rPr>
        <b/>
        <sz val="10"/>
        <rFont val="Verdana"/>
        <family val="2"/>
        <charset val="204"/>
      </rPr>
      <t>холодильної</t>
    </r>
    <r>
      <rPr>
        <sz val="10"/>
        <rFont val="Verdana"/>
        <family val="2"/>
        <charset val="204"/>
      </rPr>
      <t xml:space="preserve"> камери S =4,6м2
</t>
    </r>
    <r>
      <rPr>
        <b/>
        <sz val="10"/>
        <rFont val="Verdana"/>
        <family val="2"/>
        <charset val="204"/>
      </rPr>
      <t>(прим. № 9)</t>
    </r>
    <r>
      <rPr>
        <sz val="10"/>
        <rFont val="Verdana"/>
        <family val="2"/>
        <charset val="204"/>
      </rPr>
      <t xml:space="preserve"> +1 двері холодильну камеру (2,0х0,91) Транспортні витрати, монтаж холодильної камери (сендвіч-панелей), підконструкцій для зовнішнього блоку. Стелаж легкозбірний 1950х1000х600 - 2шт. 1950х900х600 -2шт. Лист перфорований з алюмінію (підлога)</t>
    </r>
  </si>
  <si>
    <r>
      <t xml:space="preserve">Стіни, стеля і підлога </t>
    </r>
    <r>
      <rPr>
        <b/>
        <sz val="10"/>
        <rFont val="Verdana"/>
        <family val="2"/>
        <charset val="204"/>
      </rPr>
      <t>морозильної</t>
    </r>
    <r>
      <rPr>
        <sz val="10"/>
        <rFont val="Verdana"/>
        <family val="2"/>
        <charset val="204"/>
      </rPr>
      <t xml:space="preserve"> камери </t>
    </r>
    <r>
      <rPr>
        <u/>
        <sz val="10"/>
        <rFont val="Verdana"/>
        <family val="2"/>
        <charset val="204"/>
      </rPr>
      <t>S =8,8м2</t>
    </r>
    <r>
      <rPr>
        <sz val="10"/>
        <rFont val="Verdana"/>
        <family val="2"/>
        <charset val="204"/>
      </rPr>
      <t xml:space="preserve">
</t>
    </r>
    <r>
      <rPr>
        <b/>
        <sz val="10"/>
        <rFont val="Verdana"/>
        <family val="2"/>
        <charset val="204"/>
      </rPr>
      <t>(прим. № 10)</t>
    </r>
    <r>
      <rPr>
        <sz val="10"/>
        <rFont val="Verdana"/>
        <family val="2"/>
        <charset val="204"/>
      </rPr>
      <t xml:space="preserve"> +1 двері в морозильну камеру (2,0х0,91) Транспортні витрати, монтаж морозильної камери (сендвіч-панелей), підконструкцій для зовнішнього блоку. Стелаж легкозбірний 1950х1000х600-2шт, 1950х800х600-8шт. Лист перфорований з алюмінію (підлога)</t>
    </r>
  </si>
  <si>
    <r>
      <rPr>
        <b/>
        <sz val="10"/>
        <rFont val="Verdana"/>
        <family val="2"/>
        <charset val="204"/>
      </rPr>
      <t xml:space="preserve">Периметр будівлі - 74 м.п.
</t>
    </r>
    <r>
      <rPr>
        <sz val="10"/>
        <rFont val="Verdana"/>
        <family val="2"/>
        <charset val="204"/>
      </rPr>
      <t>обєм пінопласту - 4,7 м3
враховано перетяжка клеєм з армуючою сіткою.</t>
    </r>
  </si>
  <si>
    <r>
      <t xml:space="preserve">Площа покриття - </t>
    </r>
    <r>
      <rPr>
        <b/>
        <sz val="10"/>
        <rFont val="Verdana"/>
        <family val="2"/>
        <charset val="204"/>
      </rPr>
      <t>25 м2
4 контури в санвузлах 
Кабель NEXANS TXLP/2, крок укладки 100мм, включає підкладку, термодатчики та терморегулятори (сенсорні).</t>
    </r>
  </si>
  <si>
    <r>
      <t xml:space="preserve">Площа підлоги - </t>
    </r>
    <r>
      <rPr>
        <b/>
        <sz val="10"/>
        <rFont val="Verdana"/>
        <family val="2"/>
        <charset val="204"/>
      </rPr>
      <t xml:space="preserve">14,4 м2, </t>
    </r>
    <r>
      <rPr>
        <sz val="10"/>
        <rFont val="Verdana"/>
        <family val="2"/>
        <charset val="204"/>
      </rPr>
      <t>включає праймер, розхідні матеріали, шліфування.</t>
    </r>
  </si>
  <si>
    <r>
      <t xml:space="preserve">Площа підлоги - </t>
    </r>
    <r>
      <rPr>
        <b/>
        <sz val="10"/>
        <rFont val="Verdana"/>
        <family val="2"/>
        <charset val="204"/>
      </rPr>
      <t xml:space="preserve">276 м2, </t>
    </r>
    <r>
      <rPr>
        <sz val="10"/>
        <rFont val="Verdana"/>
        <family val="2"/>
        <charset val="204"/>
      </rPr>
      <t xml:space="preserve">в т. ч. чобіток - (11 м2),з них:- Плитка торгового залу 1800х200 мм - </t>
    </r>
    <r>
      <rPr>
        <b/>
        <sz val="10"/>
        <rFont val="Verdana"/>
        <family val="2"/>
        <charset val="204"/>
      </rPr>
      <t>181 м2;</t>
    </r>
    <r>
      <rPr>
        <sz val="10"/>
        <rFont val="Verdana"/>
        <family val="2"/>
        <charset val="204"/>
      </rPr>
      <t xml:space="preserve">
- WC 1200х600 мм - </t>
    </r>
    <r>
      <rPr>
        <b/>
        <sz val="10"/>
        <rFont val="Verdana"/>
        <family val="2"/>
        <charset val="204"/>
      </rPr>
      <t xml:space="preserve">19 м2;
</t>
    </r>
    <r>
      <rPr>
        <sz val="10"/>
        <rFont val="Verdana"/>
        <family val="2"/>
        <charset val="204"/>
      </rPr>
      <t xml:space="preserve">- Інші приміщення - </t>
    </r>
    <r>
      <rPr>
        <b/>
        <sz val="10"/>
        <rFont val="Verdana"/>
        <family val="2"/>
        <charset val="204"/>
      </rPr>
      <t>65 м2</t>
    </r>
    <r>
      <rPr>
        <sz val="10"/>
        <rFont val="Verdana"/>
        <family val="2"/>
        <charset val="204"/>
      </rPr>
      <t xml:space="preserve">.
У розцінку включено грунтування </t>
    </r>
  </si>
  <si>
    <r>
      <t xml:space="preserve">Комплексний демонтаж підшивної стелі навісу ПРК при потребі </t>
    </r>
    <r>
      <rPr>
        <sz val="10"/>
        <color rgb="FFFF0000"/>
        <rFont val="Verdana"/>
        <family val="2"/>
        <charset val="204"/>
      </rPr>
      <t>зі збереженням матеріалу</t>
    </r>
  </si>
  <si>
    <r>
      <rPr>
        <sz val="10"/>
        <color rgb="FFFF0000"/>
        <rFont val="Verdana"/>
        <family val="2"/>
        <charset val="204"/>
      </rPr>
      <t>Демонтаж без збереження:</t>
    </r>
    <r>
      <rPr>
        <sz val="10"/>
        <rFont val="Verdana"/>
        <family val="2"/>
        <charset val="204"/>
      </rPr>
      <t xml:space="preserve">
Споруда металева обшита профлистом -5м*4м*2,6м</t>
    </r>
  </si>
  <si>
    <r>
      <rPr>
        <b/>
        <u/>
        <sz val="10"/>
        <rFont val="Verdana"/>
        <family val="2"/>
        <charset val="204"/>
      </rPr>
      <t>Перевезення</t>
    </r>
    <r>
      <rPr>
        <b/>
        <sz val="10"/>
        <rFont val="Verdana"/>
        <family val="2"/>
        <charset val="204"/>
      </rPr>
      <t xml:space="preserve"> </t>
    </r>
    <r>
      <rPr>
        <b/>
        <u/>
        <sz val="10"/>
        <rFont val="Verdana"/>
        <family val="2"/>
        <charset val="204"/>
      </rPr>
      <t>в</t>
    </r>
    <r>
      <rPr>
        <b/>
        <sz val="10"/>
        <rFont val="Verdana"/>
        <family val="2"/>
        <charset val="204"/>
      </rPr>
      <t xml:space="preserve"> </t>
    </r>
    <r>
      <rPr>
        <b/>
        <u/>
        <sz val="10"/>
        <rFont val="Verdana"/>
        <family val="2"/>
        <charset val="204"/>
      </rPr>
      <t>т.ч.</t>
    </r>
    <r>
      <rPr>
        <b/>
        <sz val="10"/>
        <rFont val="Verdana"/>
        <family val="2"/>
        <charset val="204"/>
      </rPr>
      <t xml:space="preserve"> </t>
    </r>
    <r>
      <rPr>
        <b/>
        <u/>
        <sz val="10"/>
        <rFont val="Verdana"/>
        <family val="2"/>
        <charset val="204"/>
      </rPr>
      <t>завантаження-розвантаження</t>
    </r>
    <r>
      <rPr>
        <sz val="10"/>
        <rFont val="Verdana"/>
        <family val="2"/>
        <charset val="204"/>
      </rPr>
      <t xml:space="preserve"> при потребі (зовнішніх івертарних споруд)</t>
    </r>
  </si>
  <si>
    <r>
      <rPr>
        <u/>
        <sz val="10"/>
        <rFont val="Verdana"/>
        <family val="2"/>
        <charset val="204"/>
      </rPr>
      <t>Каналізація</t>
    </r>
    <r>
      <rPr>
        <sz val="10"/>
        <rFont val="Verdana"/>
        <family val="2"/>
        <charset val="204"/>
      </rPr>
      <t xml:space="preserve"> К1; К2; К3
Демонтаж трубопроводу в межах 
забудови - </t>
    </r>
    <r>
      <rPr>
        <b/>
        <sz val="10"/>
        <rFont val="Verdana"/>
        <family val="2"/>
        <charset val="204"/>
      </rPr>
      <t xml:space="preserve">50м.п. </t>
    </r>
    <r>
      <rPr>
        <sz val="10"/>
        <rFont val="Verdana"/>
        <family val="2"/>
        <charset val="204"/>
      </rPr>
      <t>-З/Б колодязі - 1</t>
    </r>
    <r>
      <rPr>
        <b/>
        <sz val="10"/>
        <rFont val="Verdana"/>
        <family val="2"/>
        <charset val="204"/>
      </rPr>
      <t>шт</t>
    </r>
    <r>
      <rPr>
        <sz val="10"/>
        <rFont val="Verdana"/>
        <family val="2"/>
        <charset val="204"/>
      </rPr>
      <t xml:space="preserve">
Частковий демонтаж (Уточ. по факту)</t>
    </r>
  </si>
  <si>
    <r>
      <t xml:space="preserve">Демонтаж металоконструкцій, що існують на території АЗС: металеві відбійники, стовпчики, каркаси огороджень, вивісок та реламних банерів, тощо….
(включає завантаження, вивезення та утилізацію металоконструкцій)
</t>
    </r>
    <r>
      <rPr>
        <b/>
        <sz val="10"/>
        <rFont val="Verdana"/>
        <family val="2"/>
        <charset val="204"/>
      </rPr>
      <t>Враховано зворотні суми (металобрухт)</t>
    </r>
  </si>
  <si>
    <r>
      <rPr>
        <b/>
        <sz val="10"/>
        <rFont val="Verdana"/>
        <family val="2"/>
        <charset val="204"/>
      </rPr>
      <t>Щогли металеві</t>
    </r>
    <r>
      <rPr>
        <sz val="10"/>
        <rFont val="Verdana"/>
        <family val="2"/>
        <charset val="204"/>
      </rPr>
      <t xml:space="preserve">  - </t>
    </r>
    <r>
      <rPr>
        <b/>
        <sz val="10"/>
        <rFont val="Verdana"/>
        <family val="2"/>
        <charset val="204"/>
      </rPr>
      <t xml:space="preserve">1 шт.
</t>
    </r>
    <r>
      <rPr>
        <sz val="10"/>
        <rFont val="Verdana"/>
        <family val="2"/>
        <charset val="204"/>
      </rPr>
      <t xml:space="preserve">Враховує земляні та демонтажні роботи фундамент  та металоконструкції
</t>
    </r>
    <r>
      <rPr>
        <b/>
        <sz val="10"/>
        <rFont val="Verdana"/>
        <family val="2"/>
        <charset val="204"/>
      </rPr>
      <t xml:space="preserve">Враховано зворотні суми металобрухт: </t>
    </r>
    <r>
      <rPr>
        <sz val="10"/>
        <rFont val="Verdana"/>
        <family val="2"/>
        <charset val="204"/>
      </rPr>
      <t>1 шт. * 385кг</t>
    </r>
  </si>
  <si>
    <r>
      <t xml:space="preserve">Демонтаж опор освітлення - </t>
    </r>
    <r>
      <rPr>
        <b/>
        <sz val="10"/>
        <rFont val="Verdana"/>
        <family val="2"/>
        <charset val="204"/>
      </rPr>
      <t>2 шт.</t>
    </r>
    <r>
      <rPr>
        <sz val="10"/>
        <rFont val="Verdana"/>
        <family val="2"/>
        <charset val="204"/>
      </rPr>
      <t xml:space="preserve">
(від'єднання кабелів та металевої опори від фундаменту, демонтаж опори, демонтаж світильника, демонтаж фундаменту) </t>
    </r>
  </si>
  <si>
    <t>Демонтаж обшивки з профлиста</t>
  </si>
  <si>
    <r>
      <t xml:space="preserve">Кількість  - </t>
    </r>
    <r>
      <rPr>
        <b/>
        <sz val="10"/>
        <color rgb="FF000000"/>
        <rFont val="Verdana"/>
        <family val="2"/>
        <charset val="204"/>
      </rPr>
      <t>6шт.</t>
    </r>
    <r>
      <rPr>
        <sz val="10"/>
        <color indexed="8"/>
        <rFont val="Verdana"/>
        <family val="2"/>
        <charset val="204"/>
      </rPr>
      <t xml:space="preserve">
Відбивання штукатурки з відкосів. Знімання дверних коробок. (Зворотній матеріал)</t>
    </r>
  </si>
  <si>
    <t>Демонтаж вітражних систем - 13 м2 
(Зворотній матеріал)</t>
  </si>
  <si>
    <r>
      <t xml:space="preserve">Демонтаж радіаторів. 
</t>
    </r>
    <r>
      <rPr>
        <sz val="10"/>
        <color rgb="FFFF0000"/>
        <rFont val="Verdana"/>
        <family val="2"/>
        <charset val="204"/>
      </rPr>
      <t>без збереженням матеріалів</t>
    </r>
  </si>
  <si>
    <t>Демонтаж водопровідних труб за межами конструкцій (без зберігання матеріалу)</t>
  </si>
  <si>
    <t>Демонтаж каналізаційних труб за межами конструкцій (без зберігання матеріалу)</t>
  </si>
  <si>
    <r>
      <t xml:space="preserve">Умивальники, півноги, інсталяція,унітаз, столешня, змішувачі, сифони, душ. Кабіна, пісюар.
</t>
    </r>
    <r>
      <rPr>
        <sz val="10"/>
        <color rgb="FFFF0000"/>
        <rFont val="Verdana"/>
        <family val="2"/>
        <charset val="204"/>
      </rPr>
      <t>Без збереження матеріалів з утилізацією</t>
    </r>
  </si>
  <si>
    <r>
      <t xml:space="preserve">S демонтажу стель - </t>
    </r>
    <r>
      <rPr>
        <b/>
        <sz val="10"/>
        <color rgb="FF000000"/>
        <rFont val="Verdana"/>
        <family val="2"/>
        <charset val="204"/>
      </rPr>
      <t>65м2</t>
    </r>
    <r>
      <rPr>
        <b/>
        <sz val="10"/>
        <color indexed="8"/>
        <rFont val="Verdana"/>
        <family val="2"/>
        <charset val="204"/>
      </rPr>
      <t xml:space="preserve">
</t>
    </r>
    <r>
      <rPr>
        <sz val="10"/>
        <color indexed="8"/>
        <rFont val="Verdana"/>
        <family val="2"/>
        <charset val="204"/>
      </rPr>
      <t xml:space="preserve">В розцінку включено перенесення будівел. Сміття. </t>
    </r>
    <r>
      <rPr>
        <sz val="10"/>
        <color rgb="FFFF0000"/>
        <rFont val="Verdana"/>
        <family val="2"/>
        <charset val="204"/>
      </rPr>
      <t>Без збереження матеріалу</t>
    </r>
  </si>
  <si>
    <r>
      <t xml:space="preserve">Операторна, демонтаж залізобетону  
(64м2 *0,22м = </t>
    </r>
    <r>
      <rPr>
        <b/>
        <sz val="10"/>
        <color rgb="FF000000"/>
        <rFont val="Verdana"/>
        <family val="2"/>
        <charset val="204"/>
      </rPr>
      <t>14м3</t>
    </r>
    <r>
      <rPr>
        <sz val="10"/>
        <color indexed="8"/>
        <rFont val="Verdana"/>
        <family val="2"/>
        <charset val="204"/>
      </rPr>
      <t xml:space="preserve"> ) 
</t>
    </r>
    <r>
      <rPr>
        <sz val="10"/>
        <color rgb="FFFF0000"/>
        <rFont val="Verdana"/>
        <family val="2"/>
        <charset val="204"/>
      </rPr>
      <t>В розцінку включено завантаження вивезення демонтованих матеріалів з утилізацією.</t>
    </r>
  </si>
  <si>
    <r>
      <t xml:space="preserve">цегляні стіни -48,1 м3  
</t>
    </r>
    <r>
      <rPr>
        <sz val="10"/>
        <color rgb="FFFF0000"/>
        <rFont val="Verdana"/>
        <family val="2"/>
        <charset val="204"/>
      </rPr>
      <t>Без збереження. Переміщення у відвал.</t>
    </r>
  </si>
  <si>
    <t>Демонтаж цегляних несучих стін 
(цегляні та блоки з оздобленням та інженерними мережами що заховані в товщі стіни)</t>
  </si>
  <si>
    <t>Демонтаж цегляних перегородок до 200 мм 
(з оздобленням та інженерними мережами що заховані в товщині перегородок)</t>
  </si>
  <si>
    <r>
      <t xml:space="preserve">цегляні перегородки до 200 мм.
</t>
    </r>
    <r>
      <rPr>
        <sz val="10"/>
        <color rgb="FFFF0000"/>
        <rFont val="Verdana"/>
        <family val="2"/>
        <charset val="204"/>
      </rPr>
      <t>Без збереження.</t>
    </r>
    <r>
      <rPr>
        <sz val="10"/>
        <color indexed="8"/>
        <rFont val="Verdana"/>
        <family val="2"/>
        <charset val="204"/>
      </rPr>
      <t xml:space="preserve"> </t>
    </r>
    <r>
      <rPr>
        <sz val="10"/>
        <color rgb="FFFF0000"/>
        <rFont val="Verdana"/>
        <family val="2"/>
        <charset val="204"/>
      </rPr>
      <t>Переміщення у відвал.</t>
    </r>
  </si>
  <si>
    <r>
      <t xml:space="preserve">Демонтаж залізобетонних конструкцій -1,3 м3. </t>
    </r>
    <r>
      <rPr>
        <sz val="10"/>
        <color rgb="FFFF0000"/>
        <rFont val="Verdana"/>
        <family val="2"/>
        <charset val="204"/>
      </rPr>
      <t>Переміщення у відвал</t>
    </r>
  </si>
  <si>
    <t>Демонтаж з/б перемичок</t>
  </si>
  <si>
    <r>
      <t xml:space="preserve">Операторна, демонтаж залізобетону для </t>
    </r>
    <r>
      <rPr>
        <sz val="10"/>
        <color rgb="FF000000"/>
        <rFont val="Verdana"/>
        <family val="2"/>
        <charset val="204"/>
      </rPr>
      <t xml:space="preserve">(61м2 *0,2м = </t>
    </r>
    <r>
      <rPr>
        <b/>
        <sz val="10"/>
        <color rgb="FF000000"/>
        <rFont val="Verdana"/>
        <family val="2"/>
        <charset val="204"/>
      </rPr>
      <t>12,2м3</t>
    </r>
    <r>
      <rPr>
        <sz val="10"/>
        <color rgb="FF000000"/>
        <rFont val="Verdana"/>
        <family val="2"/>
        <charset val="204"/>
      </rPr>
      <t xml:space="preserve">) </t>
    </r>
    <r>
      <rPr>
        <sz val="10"/>
        <color indexed="8"/>
        <rFont val="Verdana"/>
        <family val="2"/>
        <charset val="204"/>
      </rPr>
      <t xml:space="preserve">
</t>
    </r>
    <r>
      <rPr>
        <sz val="10"/>
        <color rgb="FFFF0000"/>
        <rFont val="Verdana"/>
        <family val="2"/>
        <charset val="204"/>
      </rPr>
      <t>В розцінку включено завантаження вивезення демонтованих матеріалів з утилізацією.</t>
    </r>
  </si>
  <si>
    <r>
      <t xml:space="preserve">Демонтаж:
Фундамент огорожі - 43,2+10,8 м3
ДГ, блискавкоприймач, зовнішній склад, рекламоносії тощо - 26,2 (Комплекс робіт, уточ. по факту)
</t>
    </r>
    <r>
      <rPr>
        <sz val="10"/>
        <color rgb="FFFF0000"/>
        <rFont val="Verdana"/>
        <family val="2"/>
        <charset val="204"/>
      </rPr>
      <t>В розцінку включено завантаження вивезення демонтованих матеріалів з утилізацією.</t>
    </r>
  </si>
  <si>
    <r>
      <t xml:space="preserve">Площа стін під плитку - </t>
    </r>
    <r>
      <rPr>
        <b/>
        <sz val="10"/>
        <rFont val="Verdana"/>
        <family val="2"/>
        <charset val="204"/>
      </rPr>
      <t xml:space="preserve">191 м2
</t>
    </r>
    <r>
      <rPr>
        <sz val="10"/>
        <rFont val="Verdana"/>
        <family val="2"/>
        <charset val="204"/>
      </rPr>
      <t xml:space="preserve">Санвузли відвідувачів - 104м2 (1200х600)
Санвузол персоналу - 15м2
Приміщення вузла вводу - 24м2
Доготівельна (кухня) - 48м2 (1200х600)
У розцінку включено грунтування </t>
    </r>
  </si>
  <si>
    <t>Демонтаж парапету з металевих листів та підконструкцій</t>
  </si>
  <si>
    <r>
      <t>м</t>
    </r>
    <r>
      <rPr>
        <vertAlign val="superscript"/>
        <sz val="11"/>
        <rFont val="Times New Roman"/>
        <family val="1"/>
        <charset val="204"/>
      </rPr>
      <t>2</t>
    </r>
  </si>
  <si>
    <t>Демонтаж по периметру -36мп</t>
  </si>
  <si>
    <t>Місця реконструкції стін парапетів та проходження вент. каналів -65м2</t>
  </si>
  <si>
    <t>Демонтаж  покрівельного покриття з руберойду з утилізацією</t>
  </si>
  <si>
    <t>Демонтаж утеплювача з мінеральних плит 100-200 мм (стіни та перекриття без зберігання матеріалу)</t>
  </si>
  <si>
    <t>Демонтаж  зовнішнього утеплювача стін та перекриття оператоної. 
Переміщення у відвал.</t>
  </si>
  <si>
    <t xml:space="preserve">Завантаження, перевезення та утилізація матеріалу після розбирання та демонтажу операторної </t>
  </si>
  <si>
    <t>Влаштування гідроізоляційного шару покрівлі з ПВХ мембрани t=1,5 мм заведення на парапети на всю висоту, герметизація стиків та примикань. Влаштування водовідвідних воронок з підігрівом - 2 шт.</t>
  </si>
  <si>
    <r>
      <t xml:space="preserve">Загальна к-ть - </t>
    </r>
    <r>
      <rPr>
        <b/>
        <sz val="10"/>
        <rFont val="Verdana"/>
        <family val="2"/>
        <charset val="204"/>
      </rPr>
      <t>15шт.</t>
    </r>
    <r>
      <rPr>
        <sz val="10"/>
        <rFont val="Verdana"/>
        <family val="2"/>
        <charset val="204"/>
      </rPr>
      <t xml:space="preserve">
На обшивку операторної </t>
    </r>
    <r>
      <rPr>
        <b/>
        <sz val="10"/>
        <rFont val="Verdana"/>
        <family val="2"/>
        <charset val="204"/>
      </rPr>
      <t>2шт.</t>
    </r>
    <r>
      <rPr>
        <sz val="10"/>
        <rFont val="Verdana"/>
        <family val="2"/>
        <charset val="204"/>
      </rPr>
      <t xml:space="preserve">  сітілайтів світлових. Всередені операторної фрейм -лайти та сіті-лайти - </t>
    </r>
    <r>
      <rPr>
        <b/>
        <sz val="10"/>
        <rFont val="Verdana"/>
        <family val="2"/>
        <charset val="204"/>
      </rPr>
      <t>13шт.</t>
    </r>
  </si>
  <si>
    <t xml:space="preserve">Дорожне покриття з ФЕМ (бетонна основа С12/15 -150мм) </t>
  </si>
  <si>
    <r>
      <rPr>
        <b/>
        <u/>
        <sz val="10"/>
        <rFont val="Verdana"/>
        <family val="2"/>
        <charset val="204"/>
      </rPr>
      <t>ФУТЛЯРИ - 760 м.п.</t>
    </r>
    <r>
      <rPr>
        <sz val="10"/>
        <rFont val="Verdana"/>
        <family val="2"/>
        <charset val="204"/>
      </rPr>
      <t xml:space="preserve">
в будівлі із сталь протяжками - тп 50 - 760 м.п (включено футляри між приямками ГРШ та КШ).
Від ГРЩ до зовнішнього приямка - 20 шт. тп 50.
Від КШ до зовнішнього приямка - 15 шт. тп 50.
Між ГРЩ та КШ - 1 шт. тп. 100, 5 шт. тп. 50.</t>
    </r>
  </si>
  <si>
    <t xml:space="preserve">                                                                                                </t>
  </si>
  <si>
    <t>Встановлення водовідвідних лотків пластикових в підлозі операторної (встановлення лотків на чорнову підлогу в конструкцію чистової підлоги). Відмітка верху лотка 0.000</t>
  </si>
  <si>
    <r>
      <t xml:space="preserve">Лоток водовідвіднии пластиковий Base DN100 H150 </t>
    </r>
    <r>
      <rPr>
        <b/>
        <sz val="10"/>
        <rFont val="Verdana"/>
        <family val="2"/>
        <charset val="204"/>
      </rPr>
      <t>без решітки.</t>
    </r>
    <r>
      <rPr>
        <sz val="10"/>
        <rFont val="Verdana"/>
        <family val="2"/>
        <charset val="204"/>
      </rPr>
      <t xml:space="preserve">
(для потреб електропостачання та СКМ) - </t>
    </r>
    <r>
      <rPr>
        <b/>
        <sz val="10"/>
        <rFont val="Verdana"/>
        <family val="2"/>
        <charset val="204"/>
      </rPr>
      <t>18 м.п.</t>
    </r>
  </si>
  <si>
    <r>
      <t xml:space="preserve">Влаштування армованої монолітної підлоги </t>
    </r>
    <r>
      <rPr>
        <b/>
        <sz val="10"/>
        <rFont val="Verdana"/>
        <family val="2"/>
        <charset val="204"/>
      </rPr>
      <t>доготівельної</t>
    </r>
    <r>
      <rPr>
        <sz val="10"/>
        <rFont val="Verdana"/>
        <family val="2"/>
        <charset val="204"/>
      </rPr>
      <t xml:space="preserve"> товщиною 100мм (основа під епоксидне полімерне покриття)</t>
    </r>
  </si>
  <si>
    <r>
      <t xml:space="preserve">Бордюри - </t>
    </r>
    <r>
      <rPr>
        <b/>
        <sz val="10"/>
        <rFont val="Verdana"/>
        <family val="2"/>
        <charset val="204"/>
      </rPr>
      <t>270мп</t>
    </r>
    <r>
      <rPr>
        <sz val="10"/>
        <rFont val="Verdana"/>
        <family val="2"/>
        <charset val="204"/>
      </rPr>
      <t>. 
В межах будівельного майданчику - 170мп.
За межами будівельного майданчику - 100мп.
бетон 0,049м3/мп.
щебенева основа -0,14м3/мп (ширина 0,45м висота 0,3)</t>
    </r>
  </si>
  <si>
    <t>Монолітна плита підлоги товщиною -100мм
армована сіткою Д 4мм          
Бетон С 16/20 - 1,4 м3. 
ПСБ-35 -5см</t>
  </si>
  <si>
    <r>
      <t xml:space="preserve">Відповідальність Підрядника </t>
    </r>
    <r>
      <rPr>
        <b/>
        <sz val="10"/>
        <color rgb="FFFF0000"/>
        <rFont val="Verdana"/>
        <family val="2"/>
        <charset val="204"/>
      </rPr>
      <t>Вартості заповнити!!!</t>
    </r>
  </si>
  <si>
    <r>
      <t xml:space="preserve">ПВХ труба </t>
    </r>
    <r>
      <rPr>
        <b/>
        <sz val="10"/>
        <rFont val="Verdana"/>
        <family val="2"/>
        <charset val="204"/>
      </rPr>
      <t xml:space="preserve">Ø </t>
    </r>
    <r>
      <rPr>
        <sz val="10"/>
        <rFont val="Verdana"/>
        <family val="2"/>
        <charset val="204"/>
      </rPr>
      <t>=110 мм -</t>
    </r>
    <r>
      <rPr>
        <b/>
        <sz val="10"/>
        <rFont val="Verdana"/>
        <family val="2"/>
        <charset val="204"/>
      </rPr>
      <t xml:space="preserve"> 25 м.п. </t>
    </r>
    <r>
      <rPr>
        <sz val="10"/>
        <rFont val="Verdana"/>
        <family val="2"/>
        <charset val="204"/>
      </rPr>
      <t xml:space="preserve">(опуск труб від воронди до врізки в підлозі).
Патрубок компенсаційний </t>
    </r>
    <r>
      <rPr>
        <b/>
        <sz val="10"/>
        <rFont val="Verdana"/>
        <family val="2"/>
        <charset val="204"/>
      </rPr>
      <t>Ø -</t>
    </r>
    <r>
      <rPr>
        <sz val="10"/>
        <rFont val="Verdana"/>
        <family val="2"/>
        <charset val="204"/>
      </rPr>
      <t xml:space="preserve">100 мм = </t>
    </r>
    <r>
      <rPr>
        <b/>
        <sz val="10"/>
        <rFont val="Verdana"/>
        <family val="2"/>
        <charset val="204"/>
      </rPr>
      <t xml:space="preserve">2шт.
</t>
    </r>
    <r>
      <rPr>
        <sz val="10"/>
        <rFont val="Verdana"/>
        <family val="2"/>
        <charset val="204"/>
      </rPr>
      <t xml:space="preserve">Лійка дощеприймальна поліуританова з підігрівом </t>
    </r>
    <r>
      <rPr>
        <b/>
        <sz val="10"/>
        <rFont val="Verdana"/>
        <family val="2"/>
        <charset val="204"/>
      </rPr>
      <t>Ø</t>
    </r>
    <r>
      <rPr>
        <sz val="10"/>
        <rFont val="Verdana"/>
        <family val="2"/>
        <charset val="204"/>
      </rPr>
      <t xml:space="preserve"> -100 мм</t>
    </r>
    <r>
      <rPr>
        <b/>
        <sz val="10"/>
        <rFont val="Verdana"/>
        <family val="2"/>
        <charset val="204"/>
      </rPr>
      <t xml:space="preserve"> = 2шт.</t>
    </r>
    <r>
      <rPr>
        <sz val="10"/>
        <rFont val="Verdana"/>
        <family val="2"/>
        <charset val="204"/>
      </rPr>
      <t xml:space="preserve">
</t>
    </r>
    <r>
      <rPr>
        <b/>
        <sz val="10"/>
        <rFont val="Verdana"/>
        <family val="2"/>
        <charset val="204"/>
      </rPr>
      <t>Враховано всі кріпильні матеріали.</t>
    </r>
  </si>
  <si>
    <t>Демонтаж поребрика, основи (цементно-піщана основа, щебінь). Завантаження демонтованих матеріалів для вивезення та утилізація</t>
  </si>
  <si>
    <t>Демонтаж лотка,  основи (бетон, щебінь). Завантаження демонтованих матеріалів для вивезення та утилізація</t>
  </si>
  <si>
    <r>
      <t xml:space="preserve">Високоякісне пофарбування за межами коробів. Фарбування стелі в торговому залі (включно з комунікаціями та металокаркасом, грунтування), RAL 7047 - </t>
    </r>
    <r>
      <rPr>
        <b/>
        <sz val="10"/>
        <rFont val="Verdana"/>
        <family val="2"/>
        <charset val="204"/>
      </rPr>
      <t>250 м2</t>
    </r>
  </si>
  <si>
    <r>
      <rPr>
        <b/>
        <sz val="10"/>
        <rFont val="Verdana"/>
        <family val="2"/>
        <charset val="204"/>
      </rPr>
      <t>1</t>
    </r>
    <r>
      <rPr>
        <sz val="10"/>
        <rFont val="Verdana"/>
        <family val="2"/>
        <charset val="204"/>
      </rPr>
      <t xml:space="preserve">.Вн. обшивка зовн. стін в 2 шари вологостійких (включно з відкосом над вітражами та колонами залу) - </t>
    </r>
    <r>
      <rPr>
        <b/>
        <sz val="10"/>
        <rFont val="Verdana"/>
        <family val="2"/>
        <charset val="204"/>
      </rPr>
      <t xml:space="preserve">152м2 </t>
    </r>
    <r>
      <rPr>
        <sz val="10"/>
        <rFont val="Verdana"/>
        <family val="2"/>
        <charset val="204"/>
      </rPr>
      <t xml:space="preserve">(каркас 206м2)
</t>
    </r>
    <r>
      <rPr>
        <b/>
        <sz val="10"/>
        <rFont val="Verdana"/>
        <family val="2"/>
        <charset val="204"/>
      </rPr>
      <t>2.</t>
    </r>
    <r>
      <rPr>
        <sz val="10"/>
        <rFont val="Verdana"/>
        <family val="2"/>
        <charset val="204"/>
      </rPr>
      <t xml:space="preserve"> перегородки гіпсокартонні:
вологостійкі в 4 шари на перегородку - </t>
    </r>
    <r>
      <rPr>
        <b/>
        <sz val="10"/>
        <rFont val="Verdana"/>
        <family val="2"/>
        <charset val="204"/>
      </rPr>
      <t>205м2</t>
    </r>
    <r>
      <rPr>
        <sz val="10"/>
        <rFont val="Verdana"/>
        <family val="2"/>
        <charset val="204"/>
      </rPr>
      <t xml:space="preserve"> (каркас 277м2)
</t>
    </r>
    <r>
      <rPr>
        <b/>
        <sz val="10"/>
        <rFont val="Verdana"/>
        <family val="2"/>
        <charset val="204"/>
      </rPr>
      <t>3.</t>
    </r>
    <r>
      <rPr>
        <sz val="10"/>
        <rFont val="Verdana"/>
        <family val="2"/>
        <charset val="204"/>
      </rPr>
      <t xml:space="preserve"> перегородки протипожежні 4 шари на перегородку - </t>
    </r>
    <r>
      <rPr>
        <b/>
        <sz val="10"/>
        <rFont val="Verdana"/>
        <family val="2"/>
        <charset val="204"/>
      </rPr>
      <t>81м2</t>
    </r>
    <r>
      <rPr>
        <sz val="10"/>
        <rFont val="Verdana"/>
        <family val="2"/>
        <charset val="204"/>
      </rPr>
      <t xml:space="preserve"> (каркас 109м2)
</t>
    </r>
    <r>
      <rPr>
        <b/>
        <sz val="10"/>
        <rFont val="Verdana"/>
        <family val="2"/>
        <charset val="204"/>
      </rPr>
      <t>Всі внутрішні перегородки виконані з шумоізоляцією мін. ватою товщиною 50мм.</t>
    </r>
  </si>
  <si>
    <r>
      <t xml:space="preserve">Монтаж HPL покриття на стіни, колони, короби, ніші
</t>
    </r>
    <r>
      <rPr>
        <b/>
        <sz val="10"/>
        <rFont val="Verdana"/>
        <family val="2"/>
        <charset val="204"/>
      </rPr>
      <t>(Власне HPL - поставка Замовника. Розхідні матеріали: клей, грунтовка та ін. - поставка Підрядника)</t>
    </r>
    <r>
      <rPr>
        <sz val="10"/>
        <rFont val="Verdana"/>
        <family val="2"/>
        <charset val="204"/>
      </rPr>
      <t>.</t>
    </r>
  </si>
  <si>
    <t>Площа HPL 6 мм - 185м2.
Площа HPL 12 мм - 18м2.
(монтаж на клей до ГКЛ)</t>
  </si>
  <si>
    <r>
      <t>площа покриття -</t>
    </r>
    <r>
      <rPr>
        <b/>
        <sz val="10"/>
        <rFont val="Verdana"/>
        <family val="2"/>
        <charset val="204"/>
      </rPr>
      <t xml:space="preserve"> 200м2</t>
    </r>
    <r>
      <rPr>
        <sz val="10"/>
        <rFont val="Verdana"/>
        <family val="2"/>
        <charset val="204"/>
      </rPr>
      <t xml:space="preserve">
</t>
    </r>
    <r>
      <rPr>
        <b/>
        <sz val="10"/>
        <rFont val="Verdana"/>
        <family val="2"/>
        <charset val="204"/>
      </rPr>
      <t>тип 3</t>
    </r>
  </si>
  <si>
    <t xml:space="preserve">Демонтаж РЕЗЕРВУАРІВ БЕНЗИН І ДИЗПАЛИВО (Окремостоячий резервуарний парк) АЗК  </t>
  </si>
  <si>
    <r>
      <t xml:space="preserve">Зняття грунту (корито дороги)
Середня товщина 300см.
</t>
    </r>
    <r>
      <rPr>
        <u/>
        <sz val="10"/>
        <rFont val="Verdana"/>
        <family val="2"/>
        <charset val="204"/>
      </rPr>
      <t>Демонтаж основи асфальтобетону:</t>
    </r>
    <r>
      <rPr>
        <sz val="10"/>
        <rFont val="Verdana"/>
        <family val="2"/>
        <charset val="204"/>
      </rPr>
      <t xml:space="preserve">
S=200м2, t=33см,  V= </t>
    </r>
    <r>
      <rPr>
        <b/>
        <sz val="10"/>
        <rFont val="Verdana"/>
        <family val="2"/>
        <charset val="204"/>
      </rPr>
      <t xml:space="preserve">65м3.
</t>
    </r>
    <r>
      <rPr>
        <u/>
        <sz val="10"/>
        <rFont val="Verdana"/>
        <family val="2"/>
        <charset val="204"/>
      </rPr>
      <t>Демонаж основи ФЕМ 8см:</t>
    </r>
    <r>
      <rPr>
        <sz val="10"/>
        <rFont val="Verdana"/>
        <family val="2"/>
        <charset val="204"/>
      </rPr>
      <t xml:space="preserve">
S=900м2, t=37см,  V= </t>
    </r>
    <r>
      <rPr>
        <b/>
        <sz val="10"/>
        <rFont val="Verdana"/>
        <family val="2"/>
        <charset val="204"/>
      </rPr>
      <t>335м3</t>
    </r>
    <r>
      <rPr>
        <sz val="10"/>
        <rFont val="Verdana"/>
        <family val="2"/>
        <charset val="204"/>
      </rPr>
      <t xml:space="preserve">.
</t>
    </r>
    <r>
      <rPr>
        <u/>
        <sz val="10"/>
        <rFont val="Verdana"/>
        <family val="2"/>
        <charset val="204"/>
      </rPr>
      <t>Демонаж основи ФЕМ 6см:</t>
    </r>
    <r>
      <rPr>
        <sz val="10"/>
        <rFont val="Verdana"/>
        <family val="2"/>
        <charset val="204"/>
      </rPr>
      <t xml:space="preserve">
S=300м2, t=32см,  V= </t>
    </r>
    <r>
      <rPr>
        <b/>
        <sz val="10"/>
        <rFont val="Verdana"/>
        <family val="2"/>
        <charset val="204"/>
      </rPr>
      <t xml:space="preserve">95м3.
</t>
    </r>
    <r>
      <rPr>
        <u/>
        <sz val="10"/>
        <rFont val="Verdana"/>
        <family val="2"/>
        <charset val="204"/>
      </rPr>
      <t xml:space="preserve">Зняття рослинного шару:
</t>
    </r>
    <r>
      <rPr>
        <sz val="10"/>
        <rFont val="Verdana"/>
        <family val="2"/>
        <charset val="204"/>
      </rPr>
      <t xml:space="preserve">S=300м2, t=12см,  V= </t>
    </r>
    <r>
      <rPr>
        <b/>
        <sz val="10"/>
        <rFont val="Verdana"/>
        <family val="2"/>
        <charset val="204"/>
      </rPr>
      <t>35м3.</t>
    </r>
    <r>
      <rPr>
        <sz val="10"/>
        <rFont val="Verdana"/>
        <family val="2"/>
        <charset val="204"/>
      </rPr>
      <t xml:space="preserve">
(складування на буд. майданчику).</t>
    </r>
    <r>
      <rPr>
        <b/>
        <sz val="10"/>
        <color indexed="10"/>
        <rFont val="Verdana"/>
        <family val="2"/>
        <charset val="204"/>
      </rPr>
      <t xml:space="preserve">
</t>
    </r>
    <r>
      <rPr>
        <sz val="10"/>
        <rFont val="Verdana"/>
        <family val="2"/>
        <charset val="204"/>
      </rPr>
      <t xml:space="preserve">     </t>
    </r>
  </si>
  <si>
    <r>
      <t>Комплексний демонтаж S=</t>
    </r>
    <r>
      <rPr>
        <b/>
        <sz val="10"/>
        <rFont val="Verdana"/>
        <family val="2"/>
        <charset val="204"/>
      </rPr>
      <t>210м2</t>
    </r>
    <r>
      <rPr>
        <sz val="10"/>
        <rFont val="Verdana"/>
        <family val="2"/>
        <charset val="204"/>
      </rPr>
      <t xml:space="preserve">
</t>
    </r>
    <r>
      <rPr>
        <sz val="10"/>
        <color rgb="FFFF0000"/>
        <rFont val="Verdana"/>
        <family val="2"/>
        <charset val="204"/>
      </rPr>
      <t>(зі збереженням матеріалу)</t>
    </r>
  </si>
  <si>
    <r>
      <rPr>
        <b/>
        <u/>
        <sz val="10"/>
        <rFont val="Verdana"/>
        <family val="2"/>
        <charset val="204"/>
      </rPr>
      <t>Загальна довжина кабелів</t>
    </r>
    <r>
      <rPr>
        <u/>
        <sz val="10"/>
        <rFont val="Verdana"/>
        <family val="2"/>
        <charset val="204"/>
      </rPr>
      <t xml:space="preserve"> - </t>
    </r>
    <r>
      <rPr>
        <b/>
        <u/>
        <sz val="10"/>
        <rFont val="Verdana"/>
        <family val="2"/>
        <charset val="204"/>
      </rPr>
      <t>2 350 м.п.</t>
    </r>
    <r>
      <rPr>
        <sz val="10"/>
        <rFont val="Verdana"/>
        <family val="2"/>
        <charset val="204"/>
      </rPr>
      <t xml:space="preserve">(всі видимі ділянки за підвісною стелею та в г/к стінах прокладаються в чорній гофротрубі закріпленій до стін та стелі в тому числі в футлярах)
ВВГнгд 2х1,5 - </t>
    </r>
    <r>
      <rPr>
        <b/>
        <sz val="10"/>
        <rFont val="Verdana"/>
        <family val="2"/>
        <charset val="204"/>
      </rPr>
      <t>450 м.п.</t>
    </r>
    <r>
      <rPr>
        <sz val="10"/>
        <rFont val="Verdana"/>
        <family val="2"/>
        <charset val="204"/>
      </rPr>
      <t xml:space="preserve">
ВВГнгд 3х1,5 - </t>
    </r>
    <r>
      <rPr>
        <b/>
        <sz val="10"/>
        <rFont val="Verdana"/>
        <family val="2"/>
        <charset val="204"/>
      </rPr>
      <t>635 м.п.</t>
    </r>
    <r>
      <rPr>
        <sz val="10"/>
        <rFont val="Verdana"/>
        <family val="2"/>
        <charset val="204"/>
      </rPr>
      <t xml:space="preserve">
ВВГнгд 3х2,5 - </t>
    </r>
    <r>
      <rPr>
        <b/>
        <sz val="10"/>
        <rFont val="Verdana"/>
        <family val="2"/>
        <charset val="204"/>
      </rPr>
      <t xml:space="preserve">1050 м.п.
</t>
    </r>
    <r>
      <rPr>
        <sz val="10"/>
        <rFont val="Verdana"/>
        <family val="2"/>
        <charset val="204"/>
      </rPr>
      <t xml:space="preserve">ВВГнгд 3х6 - </t>
    </r>
    <r>
      <rPr>
        <b/>
        <sz val="10"/>
        <rFont val="Verdana"/>
        <family val="2"/>
        <charset val="204"/>
      </rPr>
      <t>20 м.п.</t>
    </r>
    <r>
      <rPr>
        <sz val="10"/>
        <rFont val="Verdana"/>
        <family val="2"/>
        <charset val="204"/>
      </rPr>
      <t xml:space="preserve">
ВВГнгд 5х4 - </t>
    </r>
    <r>
      <rPr>
        <b/>
        <sz val="10"/>
        <rFont val="Verdana"/>
        <family val="2"/>
        <charset val="204"/>
      </rPr>
      <t>20 м.п.</t>
    </r>
    <r>
      <rPr>
        <sz val="10"/>
        <rFont val="Verdana"/>
        <family val="2"/>
        <charset val="204"/>
      </rPr>
      <t xml:space="preserve">
ВВГнгд 5х10 - </t>
    </r>
    <r>
      <rPr>
        <b/>
        <sz val="10"/>
        <rFont val="Verdana"/>
        <family val="2"/>
        <charset val="204"/>
      </rPr>
      <t>20 м.п.</t>
    </r>
    <r>
      <rPr>
        <sz val="10"/>
        <rFont val="Verdana"/>
        <family val="2"/>
        <charset val="204"/>
      </rPr>
      <t xml:space="preserve">
Провід вогнетривкий 2х1,5 - </t>
    </r>
    <r>
      <rPr>
        <b/>
        <sz val="10"/>
        <rFont val="Verdana"/>
        <family val="2"/>
        <charset val="204"/>
      </rPr>
      <t>25 м.п.</t>
    </r>
    <r>
      <rPr>
        <sz val="10"/>
        <rFont val="Verdana"/>
        <family val="2"/>
        <charset val="204"/>
      </rPr>
      <t xml:space="preserve">
Провід вогнетривкий 3х1,5 - </t>
    </r>
    <r>
      <rPr>
        <b/>
        <sz val="10"/>
        <rFont val="Verdana"/>
        <family val="2"/>
        <charset val="204"/>
      </rPr>
      <t>130 м.п.</t>
    </r>
    <r>
      <rPr>
        <sz val="10"/>
        <rFont val="Verdana"/>
        <family val="2"/>
        <charset val="204"/>
      </rPr>
      <t xml:space="preserve">
</t>
    </r>
    <r>
      <rPr>
        <b/>
        <u/>
        <sz val="10"/>
        <rFont val="Verdana"/>
        <family val="2"/>
        <charset val="204"/>
      </rPr>
      <t xml:space="preserve">Ел. установок:
</t>
    </r>
    <r>
      <rPr>
        <sz val="10"/>
        <rFont val="Verdana"/>
        <family val="2"/>
        <charset val="204"/>
      </rPr>
      <t xml:space="preserve">розетки та вимикачі - </t>
    </r>
    <r>
      <rPr>
        <b/>
        <sz val="10"/>
        <rFont val="Verdana"/>
        <family val="2"/>
        <charset val="204"/>
      </rPr>
      <t>95 шт</t>
    </r>
    <r>
      <rPr>
        <sz val="10"/>
        <rFont val="Verdana"/>
        <family val="2"/>
        <charset val="204"/>
      </rPr>
      <t xml:space="preserve">;
коробки установчі - </t>
    </r>
    <r>
      <rPr>
        <b/>
        <sz val="10"/>
        <rFont val="Verdana"/>
        <family val="2"/>
        <charset val="204"/>
      </rPr>
      <t>45 шт</t>
    </r>
    <r>
      <rPr>
        <sz val="10"/>
        <rFont val="Verdana"/>
        <family val="2"/>
        <charset val="204"/>
      </rPr>
      <t xml:space="preserve">;
коробоки розподыльчі - </t>
    </r>
    <r>
      <rPr>
        <b/>
        <sz val="10"/>
        <rFont val="Verdana"/>
        <family val="2"/>
        <charset val="204"/>
      </rPr>
      <t>65 шт</t>
    </r>
    <r>
      <rPr>
        <sz val="10"/>
        <rFont val="Verdana"/>
        <family val="2"/>
        <charset val="204"/>
      </rPr>
      <t xml:space="preserve">;
гофротруба чорна - </t>
    </r>
    <r>
      <rPr>
        <b/>
        <sz val="10"/>
        <rFont val="Verdana"/>
        <family val="2"/>
        <charset val="204"/>
      </rPr>
      <t xml:space="preserve">2 200 м.п.
</t>
    </r>
    <r>
      <rPr>
        <sz val="10"/>
        <rFont val="Verdana"/>
        <family val="2"/>
        <charset val="204"/>
      </rPr>
      <t xml:space="preserve">датчик присутності - </t>
    </r>
    <r>
      <rPr>
        <b/>
        <sz val="10"/>
        <rFont val="Verdana"/>
        <family val="2"/>
        <charset val="204"/>
      </rPr>
      <t>2 шт.</t>
    </r>
  </si>
  <si>
    <r>
      <t>Демонтаж</t>
    </r>
    <r>
      <rPr>
        <b/>
        <sz val="10"/>
        <rFont val="Verdana"/>
        <family val="2"/>
        <charset val="204"/>
      </rPr>
      <t xml:space="preserve"> </t>
    </r>
    <r>
      <rPr>
        <sz val="10"/>
        <rFont val="Verdana"/>
        <family val="2"/>
        <charset val="204"/>
      </rPr>
      <t>резервуару РМП  
(демонтаж та погрузка)</t>
    </r>
  </si>
  <si>
    <r>
      <t>Загальнобудівельні роботи</t>
    </r>
    <r>
      <rPr>
        <sz val="10"/>
        <rFont val="Verdana"/>
        <family val="2"/>
        <charset val="204"/>
      </rPr>
      <t xml:space="preserve"> при демонтажі  резервуару РМП (розроблення котловану, водовідкачування,  основа під фундаменти,кріплення стінок котловану) </t>
    </r>
  </si>
  <si>
    <r>
      <t xml:space="preserve">Розробка грунту вручну в зоні резервуарного парку - </t>
    </r>
    <r>
      <rPr>
        <b/>
        <sz val="10"/>
        <rFont val="Verdana"/>
        <family val="2"/>
        <charset val="204"/>
      </rPr>
      <t>10м3</t>
    </r>
    <r>
      <rPr>
        <sz val="10"/>
        <rFont val="Verdana"/>
        <family val="2"/>
        <charset val="204"/>
      </rPr>
      <t xml:space="preserve">
(шурфування - знаходження технологічних трубопроводів та електричних мереж)
</t>
    </r>
  </si>
  <si>
    <t>кількість ПРК, шт- 2шт</t>
  </si>
  <si>
    <t>Демонтаж ПРК  
Передбачає демонтажні роботи та встановлення на тимчасове місце.</t>
  </si>
  <si>
    <t xml:space="preserve">ВАРТІСТЬ резервуару з доставкою оплачує замовник. За підрядником розгрузка-погрузка резервуару,зберігання. </t>
  </si>
  <si>
    <t>об'єм резервуару - 40м3
зберігання інші витрати. Застосовано кран 24Т. Інші витрати включають перебазування крана</t>
  </si>
  <si>
    <r>
      <t xml:space="preserve">Загальнобудівельні роботи при монтажі </t>
    </r>
    <r>
      <rPr>
        <u/>
        <sz val="10"/>
        <rFont val="Verdana"/>
        <family val="2"/>
        <charset val="204"/>
      </rPr>
      <t>резервуарного парку</t>
    </r>
    <r>
      <rPr>
        <sz val="10"/>
        <rFont val="Verdana"/>
        <family val="2"/>
        <charset val="204"/>
      </rPr>
      <t xml:space="preserve"> (заземлення горизонтальне та вертикальне) Приєднання до контурів навісу і операторної та  стовпчика заземлення.</t>
    </r>
  </si>
  <si>
    <t>2.3.3</t>
  </si>
  <si>
    <t>Монтаж резервуару палива (монтаж резервуару, місцева гідроізоляція)</t>
  </si>
  <si>
    <t>кількість стрічки 40Х4 - 50 м.п
вертик. електроди  кутник 50Х5 -  6 шт по 3 м (включено заземлення резервуарного парку та під'єднання стовпчика заземлення та контурів навісу і операторної).</t>
  </si>
  <si>
    <t>кількість резервуарів - 1 шт.
об'єм резервуар - 40м3 (7,715тон)  (вантажопід'ємність крана 32т.)</t>
  </si>
  <si>
    <r>
      <t xml:space="preserve">Траншея - </t>
    </r>
    <r>
      <rPr>
        <b/>
        <sz val="10"/>
        <rFont val="Verdana"/>
        <family val="2"/>
        <charset val="204"/>
      </rPr>
      <t>50мп</t>
    </r>
    <r>
      <rPr>
        <sz val="10"/>
        <rFont val="Verdana"/>
        <family val="2"/>
        <charset val="204"/>
      </rPr>
      <t xml:space="preserve">
Пісок - </t>
    </r>
    <r>
      <rPr>
        <b/>
        <sz val="10"/>
        <rFont val="Verdana"/>
        <family val="2"/>
        <charset val="204"/>
      </rPr>
      <t>40 м3</t>
    </r>
    <r>
      <rPr>
        <sz val="10"/>
        <rFont val="Verdana"/>
        <family val="2"/>
        <charset val="204"/>
      </rPr>
      <t xml:space="preserve">
(земляні роботи, засипка та підсипка змонтованих трубопроводів піском з трамбуванням та проливанням водою)</t>
    </r>
  </si>
  <si>
    <r>
      <t xml:space="preserve">Футляри внутрішні ø 50 мм - </t>
    </r>
    <r>
      <rPr>
        <b/>
        <sz val="10"/>
        <rFont val="Verdana"/>
        <family val="2"/>
        <charset val="204"/>
      </rPr>
      <t xml:space="preserve">260 м.п. </t>
    </r>
    <r>
      <rPr>
        <sz val="10"/>
        <rFont val="Verdana"/>
        <family val="2"/>
        <charset val="204"/>
      </rPr>
      <t xml:space="preserve">(від ГРШ до прикасової зони в лоток - </t>
    </r>
    <r>
      <rPr>
        <b/>
        <sz val="10"/>
        <rFont val="Verdana"/>
        <family val="2"/>
        <charset val="204"/>
      </rPr>
      <t>10 шт.</t>
    </r>
    <r>
      <rPr>
        <sz val="10"/>
        <rFont val="Verdana"/>
        <family val="2"/>
        <charset val="204"/>
      </rPr>
      <t xml:space="preserve">, від КШ до прикасової зони в лоток - </t>
    </r>
    <r>
      <rPr>
        <b/>
        <sz val="10"/>
        <rFont val="Verdana"/>
        <family val="2"/>
        <charset val="204"/>
      </rPr>
      <t>10 шт.</t>
    </r>
    <r>
      <rPr>
        <sz val="10"/>
        <rFont val="Verdana"/>
        <family val="2"/>
        <charset val="204"/>
      </rPr>
      <t xml:space="preserve">)
Футляри внутрішні ø 50 мм - </t>
    </r>
    <r>
      <rPr>
        <b/>
        <sz val="10"/>
        <rFont val="Verdana"/>
        <family val="2"/>
        <charset val="204"/>
      </rPr>
      <t xml:space="preserve">160 м.п. </t>
    </r>
    <r>
      <rPr>
        <sz val="10"/>
        <rFont val="Verdana"/>
        <family val="2"/>
        <charset val="204"/>
      </rPr>
      <t xml:space="preserve">(від прикасової зони з лотків до зовнішнього приямка - </t>
    </r>
    <r>
      <rPr>
        <b/>
        <sz val="10"/>
        <rFont val="Verdana"/>
        <family val="2"/>
        <charset val="204"/>
      </rPr>
      <t>15 шт.</t>
    </r>
    <r>
      <rPr>
        <sz val="10"/>
        <rFont val="Verdana"/>
        <family val="2"/>
        <charset val="204"/>
      </rPr>
      <t xml:space="preserve">)
Футляри внутрішні ø 90 мм - </t>
    </r>
    <r>
      <rPr>
        <b/>
        <sz val="10"/>
        <rFont val="Verdana"/>
        <family val="2"/>
        <charset val="204"/>
      </rPr>
      <t>4 м.п.</t>
    </r>
  </si>
  <si>
    <t>Профільна труба 60*40*3 - 130мп (590кг)
(каркас під навісні світильники)
Кріпильні і зварювальні роботи.</t>
  </si>
  <si>
    <t>Влаштування каркасів з металоконструкцій під кріплення світильників сан. вузлів та прикасової зони</t>
  </si>
  <si>
    <t>Влаштування каркасів з металоконструкцій під влаштування сантехнічних перегородок.</t>
  </si>
  <si>
    <t>Профільна труба 60*40*3 - 12 мп (54кг)
(каркас під навісні сантехнічні перегородки)
Кріпильні і зварювальні роботи.</t>
  </si>
  <si>
    <r>
      <t xml:space="preserve">Електромонтажні роботи </t>
    </r>
    <r>
      <rPr>
        <b/>
        <sz val="10"/>
        <rFont val="Verdana"/>
        <family val="2"/>
        <charset val="204"/>
      </rPr>
      <t>операторної</t>
    </r>
    <r>
      <rPr>
        <sz val="10"/>
        <rFont val="Verdana"/>
        <family val="2"/>
        <charset val="204"/>
      </rPr>
      <t xml:space="preserve"> (влаштування лотків по стелі для прокладання прокладання силових та слабострумних мереж)</t>
    </r>
  </si>
  <si>
    <t>Утримання  охорони об'єкту - 6 місяців 
1 людина 24 год/добу;  
1 місяць воєнізована охорона  2 людини - 24 год/добу.</t>
  </si>
  <si>
    <r>
      <t xml:space="preserve">Розраховано </t>
    </r>
    <r>
      <rPr>
        <b/>
        <sz val="10"/>
        <rFont val="Verdana"/>
        <family val="2"/>
        <charset val="204"/>
      </rPr>
      <t>на 6 місяцІв</t>
    </r>
    <r>
      <rPr>
        <sz val="10"/>
        <rFont val="Verdana"/>
        <family val="2"/>
        <charset val="204"/>
      </rPr>
      <t xml:space="preserve">
(оплата з охоронною організацією згідно договору погодженого з Замовником)</t>
    </r>
  </si>
  <si>
    <r>
      <t>Усього - 2500 люд/дні</t>
    </r>
    <r>
      <rPr>
        <sz val="10"/>
        <rFont val="Verdana"/>
        <family val="2"/>
        <charset val="204"/>
      </rPr>
      <t xml:space="preserve">
6міс*17люд*25днів</t>
    </r>
    <r>
      <rPr>
        <b/>
        <sz val="10"/>
        <rFont val="Verdana"/>
        <family val="2"/>
        <charset val="204"/>
      </rPr>
      <t xml:space="preserve">
</t>
    </r>
    <r>
      <rPr>
        <sz val="10"/>
        <rFont val="Verdana"/>
        <family val="2"/>
        <charset val="204"/>
      </rPr>
      <t>(тільки робітники генпідрядника)</t>
    </r>
    <r>
      <rPr>
        <b/>
        <sz val="10"/>
        <rFont val="Verdana"/>
        <family val="2"/>
        <charset val="204"/>
      </rPr>
      <t xml:space="preserve">
</t>
    </r>
    <r>
      <rPr>
        <sz val="10"/>
        <rFont val="Verdana"/>
        <family val="2"/>
        <charset val="204"/>
      </rPr>
      <t>(Проживання, добові, проїзд працівників)</t>
    </r>
  </si>
  <si>
    <r>
      <rPr>
        <b/>
        <u/>
        <sz val="10"/>
        <rFont val="Verdana"/>
        <family val="2"/>
        <charset val="204"/>
      </rPr>
      <t>Лотки електричні стельові, оцинковані, не перфоровані (монолітні) - 123 м. п., та комплектуючі, а саме:</t>
    </r>
    <r>
      <rPr>
        <sz val="10"/>
        <rFont val="Verdana"/>
        <family val="2"/>
        <charset val="204"/>
      </rPr>
      <t xml:space="preserve">
Лоток неперфорований 100х50 - </t>
    </r>
    <r>
      <rPr>
        <b/>
        <sz val="10"/>
        <rFont val="Verdana"/>
        <family val="2"/>
        <charset val="204"/>
      </rPr>
      <t>24 м.п.</t>
    </r>
    <r>
      <rPr>
        <sz val="10"/>
        <rFont val="Verdana"/>
        <family val="2"/>
        <charset val="204"/>
      </rPr>
      <t xml:space="preserve">
Лоток неперфорований 150х50 - </t>
    </r>
    <r>
      <rPr>
        <b/>
        <sz val="10"/>
        <rFont val="Verdana"/>
        <family val="2"/>
        <charset val="204"/>
      </rPr>
      <t>99 м.п.</t>
    </r>
    <r>
      <rPr>
        <sz val="10"/>
        <rFont val="Verdana"/>
        <family val="2"/>
        <charset val="204"/>
      </rPr>
      <t xml:space="preserve">
Кут горизонтальний 90°, 150х50 - </t>
    </r>
    <r>
      <rPr>
        <b/>
        <sz val="10"/>
        <rFont val="Verdana"/>
        <family val="2"/>
        <charset val="204"/>
      </rPr>
      <t>14 шт.</t>
    </r>
    <r>
      <rPr>
        <sz val="10"/>
        <rFont val="Verdana"/>
        <family val="2"/>
        <charset val="204"/>
      </rPr>
      <t xml:space="preserve">
Відгалужувач Т-подібний горизонтальний, 150х50 - </t>
    </r>
    <r>
      <rPr>
        <b/>
        <sz val="10"/>
        <rFont val="Verdana"/>
        <family val="2"/>
        <charset val="204"/>
      </rPr>
      <t>4 шт.</t>
    </r>
    <r>
      <rPr>
        <sz val="10"/>
        <rFont val="Verdana"/>
        <family val="2"/>
        <charset val="204"/>
      </rPr>
      <t xml:space="preserve">
Відгалужувач горизонтальний 100х50 - </t>
    </r>
    <r>
      <rPr>
        <b/>
        <sz val="10"/>
        <rFont val="Verdana"/>
        <family val="2"/>
        <charset val="204"/>
      </rPr>
      <t>8 шт.</t>
    </r>
    <r>
      <rPr>
        <sz val="10"/>
        <rFont val="Verdana"/>
        <family val="2"/>
        <charset val="204"/>
      </rPr>
      <t xml:space="preserve">
Кут вертикальний універсальний 0-90°, 100х50 - </t>
    </r>
    <r>
      <rPr>
        <b/>
        <sz val="10"/>
        <rFont val="Verdana"/>
        <family val="2"/>
        <charset val="204"/>
      </rPr>
      <t xml:space="preserve">4 шт.
</t>
    </r>
    <r>
      <rPr>
        <sz val="10"/>
        <rFont val="Verdana"/>
        <family val="2"/>
        <charset val="204"/>
      </rPr>
      <t xml:space="preserve">Кут вертикальний універсальний 0-90°, 150х50 - </t>
    </r>
    <r>
      <rPr>
        <b/>
        <sz val="10"/>
        <rFont val="Verdana"/>
        <family val="2"/>
        <charset val="204"/>
      </rPr>
      <t>6 шт.</t>
    </r>
    <r>
      <rPr>
        <sz val="10"/>
        <rFont val="Verdana"/>
        <family val="2"/>
        <charset val="204"/>
      </rPr>
      <t xml:space="preserve">
Консоль 100 мм - </t>
    </r>
    <r>
      <rPr>
        <b/>
        <sz val="10"/>
        <rFont val="Verdana"/>
        <family val="2"/>
        <charset val="204"/>
      </rPr>
      <t>14 шт.</t>
    </r>
    <r>
      <rPr>
        <sz val="10"/>
        <rFont val="Verdana"/>
        <family val="2"/>
        <charset val="204"/>
      </rPr>
      <t xml:space="preserve">
Консоль 150 мм - </t>
    </r>
    <r>
      <rPr>
        <b/>
        <sz val="10"/>
        <rFont val="Verdana"/>
        <family val="2"/>
        <charset val="204"/>
      </rPr>
      <t>66 шт.</t>
    </r>
    <r>
      <rPr>
        <sz val="10"/>
        <rFont val="Verdana"/>
        <family val="2"/>
        <charset val="204"/>
      </rPr>
      <t xml:space="preserve">
Профіль П-подібний, довжина 3000 мм, товщина 1,5 мм - </t>
    </r>
    <r>
      <rPr>
        <b/>
        <sz val="10"/>
        <rFont val="Verdana"/>
        <family val="2"/>
        <charset val="204"/>
      </rPr>
      <t>48 м.п.</t>
    </r>
    <r>
      <rPr>
        <sz val="10"/>
        <rFont val="Verdana"/>
        <family val="2"/>
        <charset val="204"/>
      </rPr>
      <t xml:space="preserve">
Гвинт 8х65, тип 912 - </t>
    </r>
    <r>
      <rPr>
        <b/>
        <sz val="10"/>
        <rFont val="Verdana"/>
        <family val="2"/>
        <charset val="204"/>
      </rPr>
      <t>100 шт.</t>
    </r>
    <r>
      <rPr>
        <sz val="10"/>
        <rFont val="Verdana"/>
        <family val="2"/>
        <charset val="204"/>
      </rPr>
      <t xml:space="preserve">
Болт з фланцем М8х20, тип 6921 - </t>
    </r>
    <r>
      <rPr>
        <b/>
        <sz val="10"/>
        <rFont val="Verdana"/>
        <family val="2"/>
        <charset val="204"/>
      </rPr>
      <t>200 шт.</t>
    </r>
    <r>
      <rPr>
        <sz val="10"/>
        <rFont val="Verdana"/>
        <family val="2"/>
        <charset val="204"/>
      </rPr>
      <t xml:space="preserve">
Гайка зубчата з буртиком М8, тип 6923 - </t>
    </r>
    <r>
      <rPr>
        <b/>
        <sz val="10"/>
        <rFont val="Verdana"/>
        <family val="2"/>
        <charset val="204"/>
      </rPr>
      <t>260 шт.</t>
    </r>
    <r>
      <rPr>
        <sz val="10"/>
        <rFont val="Verdana"/>
        <family val="2"/>
        <charset val="204"/>
      </rPr>
      <t xml:space="preserve">
З'єднувач горизонтальний H50, товщ. 1мм - </t>
    </r>
    <r>
      <rPr>
        <b/>
        <sz val="10"/>
        <rFont val="Verdana"/>
        <family val="2"/>
        <charset val="204"/>
      </rPr>
      <t>26 шт.</t>
    </r>
    <r>
      <rPr>
        <sz val="10"/>
        <rFont val="Verdana"/>
        <family val="2"/>
        <charset val="204"/>
      </rPr>
      <t xml:space="preserve">
Болт меблевий М6х16 - </t>
    </r>
    <r>
      <rPr>
        <b/>
        <sz val="10"/>
        <rFont val="Verdana"/>
        <family val="2"/>
        <charset val="204"/>
      </rPr>
      <t>400 шт.</t>
    </r>
    <r>
      <rPr>
        <sz val="10"/>
        <rFont val="Verdana"/>
        <family val="2"/>
        <charset val="204"/>
      </rPr>
      <t xml:space="preserve">
Гайка зубчата з буртиком М6, тип 6923 - </t>
    </r>
    <r>
      <rPr>
        <b/>
        <sz val="10"/>
        <rFont val="Verdana"/>
        <family val="2"/>
        <charset val="204"/>
      </rPr>
      <t>598 шт.</t>
    </r>
    <r>
      <rPr>
        <sz val="10"/>
        <rFont val="Verdana"/>
        <family val="2"/>
        <charset val="204"/>
      </rPr>
      <t xml:space="preserve">
Кріплення трапеціевидне для профнастилу М8 (з гайкою) - </t>
    </r>
    <r>
      <rPr>
        <b/>
        <sz val="10"/>
        <rFont val="Verdana"/>
        <family val="2"/>
        <charset val="204"/>
      </rPr>
      <t>51 шт.</t>
    </r>
    <r>
      <rPr>
        <sz val="10"/>
        <rFont val="Verdana"/>
        <family val="2"/>
        <charset val="204"/>
      </rPr>
      <t xml:space="preserve">
Шпилька М8х1000 - </t>
    </r>
    <r>
      <rPr>
        <b/>
        <sz val="10"/>
        <rFont val="Verdana"/>
        <family val="2"/>
        <charset val="204"/>
      </rPr>
      <t>10 шт.</t>
    </r>
    <r>
      <rPr>
        <sz val="10"/>
        <rFont val="Verdana"/>
        <family val="2"/>
        <charset val="204"/>
      </rPr>
      <t xml:space="preserve">
Скоба стельова (підвіска) під шпильку -</t>
    </r>
    <r>
      <rPr>
        <b/>
        <sz val="10"/>
        <rFont val="Verdana"/>
        <family val="2"/>
        <charset val="204"/>
      </rPr>
      <t xml:space="preserve"> 51 шт.</t>
    </r>
  </si>
  <si>
    <t>1.2.8</t>
  </si>
  <si>
    <t>Розвантаження та перенесення будівельних матеріалів Замовника</t>
  </si>
  <si>
    <t>Матеріали Замовника. 
Відповідальне складування та зберігання.</t>
  </si>
  <si>
    <r>
      <t>Геодезичне знімання будівельного майданчика (</t>
    </r>
    <r>
      <rPr>
        <b/>
        <u/>
        <sz val="10"/>
        <rFont val="Verdana"/>
        <family val="2"/>
        <charset val="204"/>
      </rPr>
      <t>перед початком підсипки території</t>
    </r>
    <r>
      <rPr>
        <sz val="10"/>
        <rFont val="Verdana"/>
        <family val="2"/>
        <charset val="204"/>
      </rPr>
      <t>). Знімання виконується по ущільненому дну котловану.</t>
    </r>
  </si>
  <si>
    <r>
      <t>площа покриття - 2</t>
    </r>
    <r>
      <rPr>
        <b/>
        <sz val="10"/>
        <rFont val="Verdana"/>
        <family val="2"/>
        <charset val="204"/>
      </rPr>
      <t>00м2</t>
    </r>
    <r>
      <rPr>
        <sz val="10"/>
        <rFont val="Verdana"/>
        <family val="2"/>
        <charset val="204"/>
      </rPr>
      <t xml:space="preserve">
</t>
    </r>
    <r>
      <rPr>
        <b/>
        <sz val="10"/>
        <rFont val="Verdana"/>
        <family val="2"/>
        <charset val="204"/>
      </rPr>
      <t>тип 2</t>
    </r>
  </si>
  <si>
    <r>
      <t xml:space="preserve">Внутрішнє електроосвітлення ОПЕРАТОРНОЇ (світильники в підшивну стелю "Армстронг", світильники на підшивну стелю+зовнішні, аварійні, точкові, підсвітка ніш, Хот-Кафе) без вартості світильників. 
</t>
    </r>
    <r>
      <rPr>
        <b/>
        <sz val="10"/>
        <rFont val="Verdana"/>
        <family val="2"/>
        <charset val="204"/>
      </rPr>
      <t>(Постака замовника) (Окреме погодження)</t>
    </r>
  </si>
  <si>
    <t>1.2.5</t>
  </si>
  <si>
    <t>1.2.6</t>
  </si>
  <si>
    <t>1.2.7</t>
  </si>
  <si>
    <t>1.2.9</t>
  </si>
  <si>
    <r>
      <t xml:space="preserve">Площа ущільнення - </t>
    </r>
    <r>
      <rPr>
        <b/>
        <sz val="10"/>
        <rFont val="Verdana"/>
        <family val="2"/>
        <charset val="204"/>
      </rPr>
      <t>1 100м2.</t>
    </r>
  </si>
  <si>
    <r>
      <t xml:space="preserve">Засипка зелених зон існуючим грунтом </t>
    </r>
    <r>
      <rPr>
        <b/>
        <sz val="10"/>
        <rFont val="Verdana"/>
        <family val="2"/>
        <charset val="204"/>
      </rPr>
      <t>товщиною 20см.</t>
    </r>
    <r>
      <rPr>
        <sz val="10"/>
        <rFont val="Verdana"/>
        <family val="2"/>
        <charset val="204"/>
      </rPr>
      <t xml:space="preserve"> на площу 300м2. Включено перевезення по майданчику знятого рослинного шару 60м3. В розцінку включено коефіцієнт розпушення грунту для перев. по майданчику - 1,27
</t>
    </r>
    <r>
      <rPr>
        <b/>
        <sz val="10"/>
        <color rgb="FFFF0000"/>
        <rFont val="Verdana"/>
        <family val="2"/>
        <charset val="204"/>
      </rPr>
      <t>(Враховується геометричний об'єм насипу в ущільненому стані)</t>
    </r>
  </si>
  <si>
    <r>
      <t xml:space="preserve">Площа озеленення - </t>
    </r>
    <r>
      <rPr>
        <b/>
        <sz val="10"/>
        <rFont val="Verdana"/>
        <family val="2"/>
        <charset val="204"/>
      </rPr>
      <t>300м2,</t>
    </r>
    <r>
      <rPr>
        <sz val="10"/>
        <rFont val="Verdana"/>
        <family val="2"/>
        <charset val="204"/>
      </rPr>
      <t xml:space="preserve"> грунтом товщиною 20см Перевезення по майданчику знятого рослинного         шару V=</t>
    </r>
    <r>
      <rPr>
        <b/>
        <sz val="10"/>
        <rFont val="Verdana"/>
        <family val="2"/>
        <charset val="204"/>
      </rPr>
      <t xml:space="preserve">60м3. 
</t>
    </r>
    <r>
      <rPr>
        <b/>
        <sz val="10"/>
        <color rgb="FFFF0000"/>
        <rFont val="Verdana"/>
        <family val="2"/>
        <charset val="204"/>
      </rPr>
      <t>Об'єм враховано в ущільненому стані.</t>
    </r>
  </si>
  <si>
    <r>
      <t xml:space="preserve">Площа знімання - </t>
    </r>
    <r>
      <rPr>
        <b/>
        <sz val="10"/>
        <rFont val="Verdana"/>
        <family val="2"/>
        <charset val="204"/>
      </rPr>
      <t>1 700м2</t>
    </r>
  </si>
  <si>
    <r>
      <t xml:space="preserve">Огорожа 1,53м - </t>
    </r>
    <r>
      <rPr>
        <b/>
        <sz val="10"/>
        <rFont val="Verdana"/>
        <family val="2"/>
        <charset val="204"/>
      </rPr>
      <t>125 м.п.</t>
    </r>
    <r>
      <rPr>
        <sz val="10"/>
        <rFont val="Verdana"/>
        <family val="2"/>
        <charset val="204"/>
      </rPr>
      <t xml:space="preserve">  
Включено огородження ДГ. Тип  Betafence В довжину огорожі включена вартість 1 хвіртки шириною 700мм.</t>
    </r>
  </si>
  <si>
    <t>Встановлення огородження території профлистом RUUKKI S280GD+Z275 Лист профільований Т15 
Ruukki 30/POL RR23/ГОРНИЙ СІРИЙ
(земляні роботи, бетонування стовців, із влаштуванням каркасу)</t>
  </si>
  <si>
    <t>Демонтаж та монтаж технологічних люків з навісними трубопроводами до та після проведення калібровочних робіт</t>
  </si>
  <si>
    <t>1. Аванс - 10%
( Наступні 10% в процесі будівництва
на вимогу генпідрядника )</t>
  </si>
  <si>
    <r>
      <rPr>
        <b/>
        <sz val="10"/>
        <rFont val="Verdana"/>
        <family val="2"/>
        <charset val="204"/>
      </rPr>
      <t>Монтаж</t>
    </r>
    <r>
      <rPr>
        <sz val="10"/>
        <rFont val="Verdana"/>
        <family val="2"/>
        <charset val="204"/>
      </rPr>
      <t xml:space="preserve"> </t>
    </r>
    <r>
      <rPr>
        <b/>
        <sz val="10"/>
        <rFont val="Verdana"/>
        <family val="2"/>
        <charset val="204"/>
      </rPr>
      <t xml:space="preserve">світильників - 25 шт.
Поставка Замовника монтаж Підрядника:
</t>
    </r>
    <r>
      <rPr>
        <sz val="10"/>
        <rFont val="Verdana"/>
        <family val="2"/>
        <charset val="204"/>
      </rPr>
      <t xml:space="preserve">Світлодіодна панель EH 600*600мм, 36Вт 4100lm 4000K - </t>
    </r>
    <r>
      <rPr>
        <b/>
        <sz val="10"/>
        <rFont val="Verdana"/>
        <family val="2"/>
        <charset val="204"/>
      </rPr>
      <t xml:space="preserve">17 шт.
</t>
    </r>
    <r>
      <rPr>
        <sz val="10"/>
        <rFont val="Verdana"/>
        <family val="2"/>
        <charset val="204"/>
      </rPr>
      <t xml:space="preserve">Світильник аварійне освітлення - </t>
    </r>
    <r>
      <rPr>
        <b/>
        <sz val="10"/>
        <rFont val="Verdana"/>
        <family val="2"/>
        <charset val="204"/>
      </rPr>
      <t xml:space="preserve">4 шт.
</t>
    </r>
    <r>
      <rPr>
        <sz val="10"/>
        <rFont val="Verdana"/>
        <family val="2"/>
        <charset val="204"/>
      </rPr>
      <t xml:space="preserve">Світильник "Вхід" - </t>
    </r>
    <r>
      <rPr>
        <b/>
        <sz val="10"/>
        <rFont val="Verdana"/>
        <family val="2"/>
        <charset val="204"/>
      </rPr>
      <t xml:space="preserve">4 шт.
Поставка та монтаж Замовника:
</t>
    </r>
    <r>
      <rPr>
        <sz val="10"/>
        <rFont val="Verdana"/>
        <family val="2"/>
        <charset val="204"/>
      </rPr>
      <t xml:space="preserve">Світлодіодна панель PHILIPS - </t>
    </r>
    <r>
      <rPr>
        <b/>
        <sz val="10"/>
        <rFont val="Verdana"/>
        <family val="2"/>
        <charset val="204"/>
      </rPr>
      <t xml:space="preserve">1 шт.
</t>
    </r>
    <r>
      <rPr>
        <sz val="10"/>
        <rFont val="Verdana"/>
        <family val="2"/>
        <charset val="204"/>
      </rPr>
      <t xml:space="preserve">Прожектор SHOOTER-M TRL76-195 23W 3000K - </t>
    </r>
    <r>
      <rPr>
        <b/>
        <sz val="10"/>
        <rFont val="Verdana"/>
        <family val="2"/>
        <charset val="204"/>
      </rPr>
      <t xml:space="preserve">63 шт.
</t>
    </r>
    <r>
      <rPr>
        <sz val="10"/>
        <rFont val="Verdana"/>
        <family val="2"/>
        <charset val="204"/>
      </rPr>
      <t xml:space="preserve">Шинопровід TRACK-3F 3.0M - </t>
    </r>
    <r>
      <rPr>
        <b/>
        <sz val="10"/>
        <rFont val="Verdana"/>
        <family val="2"/>
        <charset val="204"/>
      </rPr>
      <t xml:space="preserve">9 шт.
</t>
    </r>
    <r>
      <rPr>
        <sz val="10"/>
        <rFont val="Verdana"/>
        <family val="2"/>
        <charset val="204"/>
      </rPr>
      <t xml:space="preserve">Шинопровід TRACK-3F 2.0M - </t>
    </r>
    <r>
      <rPr>
        <b/>
        <sz val="10"/>
        <rFont val="Verdana"/>
        <family val="2"/>
        <charset val="204"/>
      </rPr>
      <t xml:space="preserve">2 шт.
</t>
    </r>
    <r>
      <rPr>
        <sz val="10"/>
        <rFont val="Verdana"/>
        <family val="2"/>
        <charset val="204"/>
      </rPr>
      <t xml:space="preserve">Заглушка торцева TRACK-3F ENDCAP - </t>
    </r>
    <r>
      <rPr>
        <b/>
        <sz val="10"/>
        <rFont val="Verdana"/>
        <family val="2"/>
        <charset val="204"/>
      </rPr>
      <t xml:space="preserve">8 шт.
</t>
    </r>
    <r>
      <rPr>
        <sz val="10"/>
        <rFont val="Verdana"/>
        <family val="2"/>
        <charset val="204"/>
      </rPr>
      <t xml:space="preserve">Під'єднання живлення TRACK-3F - </t>
    </r>
    <r>
      <rPr>
        <b/>
        <sz val="10"/>
        <rFont val="Verdana"/>
        <family val="2"/>
        <charset val="204"/>
      </rPr>
      <t xml:space="preserve">8 шт.
</t>
    </r>
    <r>
      <rPr>
        <sz val="10"/>
        <rFont val="Verdana"/>
        <family val="2"/>
        <charset val="204"/>
      </rPr>
      <t xml:space="preserve">З'єднання TRACK-3F STRAIGHT - </t>
    </r>
    <r>
      <rPr>
        <b/>
        <sz val="10"/>
        <rFont val="Verdana"/>
        <family val="2"/>
        <charset val="204"/>
      </rPr>
      <t xml:space="preserve">9 шт.
</t>
    </r>
    <r>
      <rPr>
        <sz val="10"/>
        <rFont val="Verdana"/>
        <family val="2"/>
        <charset val="204"/>
      </rPr>
      <t xml:space="preserve">Шинопровід TRACK-3F 1.0M - </t>
    </r>
    <r>
      <rPr>
        <b/>
        <sz val="10"/>
        <rFont val="Verdana"/>
        <family val="2"/>
        <charset val="204"/>
      </rPr>
      <t xml:space="preserve">6 шт.
</t>
    </r>
    <r>
      <rPr>
        <sz val="10"/>
        <rFont val="Verdana"/>
        <family val="2"/>
        <charset val="204"/>
      </rPr>
      <t xml:space="preserve">Комплект кріплення з тросом 2.0M - </t>
    </r>
    <r>
      <rPr>
        <b/>
        <sz val="10"/>
        <rFont val="Verdana"/>
        <family val="2"/>
        <charset val="204"/>
      </rPr>
      <t xml:space="preserve">43 шт.
</t>
    </r>
    <r>
      <rPr>
        <sz val="10"/>
        <rFont val="Verdana"/>
        <family val="2"/>
        <charset val="204"/>
      </rPr>
      <t xml:space="preserve">Світильник SKYPANEL 1560X843 158W 4000K - </t>
    </r>
    <r>
      <rPr>
        <b/>
        <sz val="10"/>
        <rFont val="Verdana"/>
        <family val="2"/>
        <charset val="204"/>
      </rPr>
      <t xml:space="preserve">3 шт.
</t>
    </r>
    <r>
      <rPr>
        <sz val="10"/>
        <rFont val="Verdana"/>
        <family val="2"/>
        <charset val="204"/>
      </rPr>
      <t xml:space="preserve">Світильник SKYPANEL 1284Х849 130W 4000K - </t>
    </r>
    <r>
      <rPr>
        <b/>
        <sz val="10"/>
        <rFont val="Verdana"/>
        <family val="2"/>
        <charset val="204"/>
      </rPr>
      <t xml:space="preserve">4 шт.
</t>
    </r>
    <r>
      <rPr>
        <sz val="10"/>
        <rFont val="Verdana"/>
        <family val="2"/>
        <charset val="204"/>
      </rPr>
      <t xml:space="preserve">Світильник SKYPANEL 1780Х1073 229W 4000K - </t>
    </r>
    <r>
      <rPr>
        <b/>
        <sz val="10"/>
        <rFont val="Verdana"/>
        <family val="2"/>
        <charset val="204"/>
      </rPr>
      <t xml:space="preserve">9 шт.
</t>
    </r>
    <r>
      <rPr>
        <sz val="10"/>
        <rFont val="Verdana"/>
        <family val="2"/>
        <charset val="204"/>
      </rPr>
      <t>Світильник SKYPANEL 1284Х749 115W 4000K</t>
    </r>
    <r>
      <rPr>
        <b/>
        <sz val="10"/>
        <rFont val="Verdana"/>
        <family val="2"/>
        <charset val="204"/>
      </rPr>
      <t xml:space="preserve"> - 1 шт.
</t>
    </r>
    <r>
      <rPr>
        <sz val="10"/>
        <rFont val="Verdana"/>
        <family val="2"/>
        <charset val="204"/>
      </rPr>
      <t xml:space="preserve">Світильник SKYPANEL 1284Х882 136W 4000K - </t>
    </r>
    <r>
      <rPr>
        <b/>
        <sz val="10"/>
        <rFont val="Verdana"/>
        <family val="2"/>
        <charset val="204"/>
      </rPr>
      <t xml:space="preserve">1 шт.
</t>
    </r>
    <r>
      <rPr>
        <sz val="10"/>
        <rFont val="Verdana"/>
        <family val="2"/>
        <charset val="204"/>
      </rPr>
      <t xml:space="preserve">Світильник SKYPANEL 1800X1800 (R300) 389W - </t>
    </r>
    <r>
      <rPr>
        <b/>
        <sz val="10"/>
        <rFont val="Verdana"/>
        <family val="2"/>
        <charset val="204"/>
      </rPr>
      <t xml:space="preserve">1 шт.
</t>
    </r>
    <r>
      <rPr>
        <sz val="10"/>
        <rFont val="Verdana"/>
        <family val="2"/>
        <charset val="204"/>
      </rPr>
      <t>Світильник SKYPANEL-DOTS 1200X1000 144W -</t>
    </r>
    <r>
      <rPr>
        <b/>
        <sz val="10"/>
        <rFont val="Verdana"/>
        <family val="2"/>
        <charset val="204"/>
      </rPr>
      <t xml:space="preserve"> 9 шт.
</t>
    </r>
    <r>
      <rPr>
        <sz val="10"/>
        <rFont val="Verdana"/>
        <family val="2"/>
        <charset val="204"/>
      </rPr>
      <t xml:space="preserve">Світильник SKYPANEL-DOTS 1200X500 72W - </t>
    </r>
    <r>
      <rPr>
        <b/>
        <sz val="10"/>
        <rFont val="Verdana"/>
        <family val="2"/>
        <charset val="204"/>
      </rPr>
      <t xml:space="preserve">4 шт.
</t>
    </r>
    <r>
      <rPr>
        <sz val="10"/>
        <rFont val="Verdana"/>
        <family val="2"/>
        <charset val="204"/>
      </rPr>
      <t xml:space="preserve">Світильник SKYPANEL-DOTS 1000X1000 120W - </t>
    </r>
    <r>
      <rPr>
        <b/>
        <sz val="10"/>
        <rFont val="Verdana"/>
        <family val="2"/>
        <charset val="204"/>
      </rPr>
      <t xml:space="preserve">1 шт.
</t>
    </r>
    <r>
      <rPr>
        <sz val="10"/>
        <rFont val="Verdana"/>
        <family val="2"/>
        <charset val="204"/>
      </rPr>
      <t xml:space="preserve">Світильник SKYPANEL-DOTS 1000X500 60W - </t>
    </r>
    <r>
      <rPr>
        <b/>
        <sz val="10"/>
        <rFont val="Verdana"/>
        <family val="2"/>
        <charset val="204"/>
      </rPr>
      <t xml:space="preserve">4 шт.
</t>
    </r>
    <r>
      <rPr>
        <sz val="10"/>
        <rFont val="Verdana"/>
        <family val="2"/>
        <charset val="204"/>
      </rPr>
      <t>Світильник SKYPANEL-DOTS 500X500 30W -</t>
    </r>
    <r>
      <rPr>
        <b/>
        <sz val="10"/>
        <rFont val="Verdana"/>
        <family val="2"/>
        <charset val="204"/>
      </rPr>
      <t xml:space="preserve"> 2 шт.</t>
    </r>
  </si>
  <si>
    <t>кількість люків - 4 шт.
вузол зливу - 1шт.</t>
  </si>
  <si>
    <t>Остаточна зачистка та дегазація резервуару перед вивезенням</t>
  </si>
  <si>
    <t>Плитка Грес  40x40 (перед покупкою погодити із Замовником)</t>
  </si>
  <si>
    <t>2.1.8</t>
  </si>
  <si>
    <r>
      <t xml:space="preserve">Сепаратор нафтопродуктів </t>
    </r>
    <r>
      <rPr>
        <b/>
        <sz val="10"/>
        <rFont val="Verdana"/>
        <family val="2"/>
        <charset val="204"/>
      </rPr>
      <t>Biobox N 3/15 з байпасом</t>
    </r>
    <r>
      <rPr>
        <sz val="10"/>
        <rFont val="Verdana"/>
        <family val="2"/>
        <charset val="204"/>
      </rPr>
      <t xml:space="preserve">
(враховує доставку та розвантаження)</t>
    </r>
  </si>
  <si>
    <r>
      <rPr>
        <b/>
        <u/>
        <sz val="10"/>
        <rFont val="Verdana"/>
        <family val="2"/>
        <charset val="204"/>
      </rPr>
      <t>Дорожні знаки (згідно ОДР)</t>
    </r>
    <r>
      <rPr>
        <sz val="10"/>
        <rFont val="Verdana"/>
        <family val="2"/>
        <charset val="204"/>
      </rPr>
      <t xml:space="preserve">
1-го типорозміру -</t>
    </r>
    <r>
      <rPr>
        <b/>
        <sz val="10"/>
        <rFont val="Verdana"/>
        <family val="2"/>
        <charset val="204"/>
      </rPr>
      <t xml:space="preserve"> 25 шт.
</t>
    </r>
    <r>
      <rPr>
        <sz val="10"/>
        <rFont val="Verdana"/>
        <family val="2"/>
        <charset val="204"/>
      </rPr>
      <t>2-го типорозміру</t>
    </r>
    <r>
      <rPr>
        <b/>
        <sz val="10"/>
        <rFont val="Verdana"/>
        <family val="2"/>
        <charset val="204"/>
      </rPr>
      <t xml:space="preserve"> - 8 шт.
</t>
    </r>
    <r>
      <rPr>
        <sz val="10"/>
        <rFont val="Verdana"/>
        <family val="2"/>
        <charset val="204"/>
      </rPr>
      <t>Стійка поцинкована Н-3,5м.</t>
    </r>
    <r>
      <rPr>
        <b/>
        <sz val="10"/>
        <rFont val="Verdana"/>
        <family val="2"/>
        <charset val="204"/>
      </rPr>
      <t xml:space="preserve"> - 8шт.</t>
    </r>
    <r>
      <rPr>
        <sz val="10"/>
        <rFont val="Verdana"/>
        <family val="2"/>
        <charset val="204"/>
      </rPr>
      <t xml:space="preserve">
Стійка поцинкована Н-4м. - </t>
    </r>
    <r>
      <rPr>
        <b/>
        <sz val="10"/>
        <rFont val="Verdana"/>
        <family val="2"/>
        <charset val="204"/>
      </rPr>
      <t>6шт.</t>
    </r>
    <r>
      <rPr>
        <sz val="10"/>
        <rFont val="Verdana"/>
        <family val="2"/>
        <charset val="204"/>
      </rPr>
      <t xml:space="preserve">
Стійка поцинкована Н-5м. -4</t>
    </r>
    <r>
      <rPr>
        <b/>
        <sz val="10"/>
        <rFont val="Verdana"/>
        <family val="2"/>
        <charset val="204"/>
      </rPr>
      <t xml:space="preserve">шт.
</t>
    </r>
    <r>
      <rPr>
        <sz val="10"/>
        <rFont val="Verdana"/>
        <family val="2"/>
        <charset val="204"/>
      </rPr>
      <t xml:space="preserve">Комплект кріплень для знаків - </t>
    </r>
    <r>
      <rPr>
        <b/>
        <sz val="10"/>
        <rFont val="Verdana"/>
        <family val="2"/>
        <charset val="204"/>
      </rPr>
      <t xml:space="preserve">34шт.
</t>
    </r>
    <r>
      <rPr>
        <b/>
        <u/>
        <sz val="10"/>
        <rFont val="Verdana"/>
        <family val="2"/>
        <charset val="204"/>
      </rPr>
      <t>Дорожня розмітка (згідно ОДР)</t>
    </r>
    <r>
      <rPr>
        <sz val="10"/>
        <rFont val="Verdana"/>
        <family val="2"/>
        <charset val="204"/>
      </rPr>
      <t xml:space="preserve">
Усього площа пофарбування - </t>
    </r>
    <r>
      <rPr>
        <b/>
        <sz val="10"/>
        <rFont val="Verdana"/>
        <family val="2"/>
        <charset val="204"/>
      </rPr>
      <t xml:space="preserve">65м2
</t>
    </r>
    <r>
      <rPr>
        <sz val="10"/>
        <rFont val="Verdana"/>
        <family val="2"/>
        <charset val="204"/>
      </rPr>
      <t xml:space="preserve">                                                                                                                     </t>
    </r>
  </si>
  <si>
    <r>
      <rPr>
        <b/>
        <sz val="10"/>
        <rFont val="Verdana"/>
        <family val="2"/>
        <charset val="204"/>
      </rPr>
      <t>Усього</t>
    </r>
    <r>
      <rPr>
        <sz val="10"/>
        <rFont val="Verdana"/>
        <family val="2"/>
        <charset val="204"/>
      </rPr>
      <t xml:space="preserve"> (шпаклювання) - </t>
    </r>
    <r>
      <rPr>
        <b/>
        <sz val="10"/>
        <rFont val="Verdana"/>
        <family val="2"/>
        <charset val="204"/>
      </rPr>
      <t>349м2</t>
    </r>
    <r>
      <rPr>
        <sz val="10"/>
        <rFont val="Verdana"/>
        <family val="2"/>
        <charset val="204"/>
      </rPr>
      <t xml:space="preserve">
Площа шпаклювання стін - </t>
    </r>
    <r>
      <rPr>
        <b/>
        <sz val="10"/>
        <rFont val="Verdana"/>
        <family val="2"/>
        <charset val="204"/>
      </rPr>
      <t xml:space="preserve">305,3 м2
</t>
    </r>
    <r>
      <rPr>
        <sz val="10"/>
        <rFont val="Verdana"/>
        <family val="2"/>
        <charset val="204"/>
      </rPr>
      <t xml:space="preserve">Площа шпаклювання стель  </t>
    </r>
    <r>
      <rPr>
        <b/>
        <sz val="10"/>
        <rFont val="Verdana"/>
        <family val="2"/>
        <charset val="204"/>
      </rPr>
      <t xml:space="preserve">43,8 м2
</t>
    </r>
    <r>
      <rPr>
        <sz val="10"/>
        <rFont val="Verdana"/>
        <family val="2"/>
        <charset val="204"/>
      </rPr>
      <t>включено шпаклювання стін та стель допоміжних приміщень та санвузлів. 
відкоси - 50 мп  (входять в заг. S)</t>
    </r>
  </si>
  <si>
    <r>
      <t xml:space="preserve">Площа малярки - </t>
    </r>
    <r>
      <rPr>
        <b/>
        <sz val="10"/>
        <rFont val="Verdana"/>
        <family val="2"/>
        <charset val="204"/>
      </rPr>
      <t>349м2</t>
    </r>
    <r>
      <rPr>
        <sz val="10"/>
        <rFont val="Verdana"/>
        <family val="2"/>
        <charset val="204"/>
      </rPr>
      <t>, в т.ч.:
Площа малярки г/к стель - 43,8 м2</t>
    </r>
    <r>
      <rPr>
        <b/>
        <sz val="10"/>
        <rFont val="Verdana"/>
        <family val="2"/>
        <charset val="204"/>
      </rPr>
      <t xml:space="preserve">
</t>
    </r>
    <r>
      <rPr>
        <sz val="10"/>
        <rFont val="Verdana"/>
        <family val="2"/>
        <charset val="204"/>
      </rPr>
      <t>Площа малярки стін - 305,3 м2</t>
    </r>
    <r>
      <rPr>
        <b/>
        <sz val="10"/>
        <rFont val="Verdana"/>
        <family val="2"/>
        <charset val="204"/>
      </rPr>
      <t xml:space="preserve">
</t>
    </r>
    <r>
      <rPr>
        <sz val="10"/>
        <rFont val="Verdana"/>
        <family val="2"/>
        <charset val="204"/>
      </rPr>
      <t>(сіре пофарб стін миючою фарбою RAL 7038 - доп. приміщення). У розцінку включено грунтування.
Фарба Hearing EGASIL D1200 (або аналог), погодити із Замовником.</t>
    </r>
  </si>
  <si>
    <r>
      <t xml:space="preserve">Об'єм резервуарів - </t>
    </r>
    <r>
      <rPr>
        <b/>
        <sz val="10"/>
        <rFont val="Verdana"/>
        <family val="2"/>
        <charset val="204"/>
      </rPr>
      <t>40м3</t>
    </r>
    <r>
      <rPr>
        <sz val="10"/>
        <rFont val="Verdana"/>
        <family val="2"/>
        <charset val="204"/>
      </rPr>
      <t xml:space="preserve">
Усього резервуарів - </t>
    </r>
    <r>
      <rPr>
        <b/>
        <sz val="10"/>
        <rFont val="Verdana"/>
        <family val="2"/>
        <charset val="204"/>
      </rPr>
      <t>1шт.</t>
    </r>
    <r>
      <rPr>
        <sz val="10"/>
        <rFont val="Verdana"/>
        <family val="2"/>
        <charset val="204"/>
      </rPr>
      <t xml:space="preserve">
</t>
    </r>
  </si>
  <si>
    <r>
      <t xml:space="preserve">площа протипожежних стель (протипожежний гіпсокартон Кнауф в 2 шари пароізоляція, мінеральна вата товщиною 50мм стель - </t>
    </r>
    <r>
      <rPr>
        <b/>
        <sz val="10"/>
        <rFont val="Verdana"/>
        <family val="2"/>
        <charset val="204"/>
      </rPr>
      <t>28,7 м2</t>
    </r>
  </si>
  <si>
    <t xml:space="preserve">Площа гквс - 15,1 м2. </t>
  </si>
  <si>
    <t>площа АМСТРОНГ- 35,6м2</t>
  </si>
  <si>
    <r>
      <t xml:space="preserve">Кількість резервуарів - 4 </t>
    </r>
    <r>
      <rPr>
        <b/>
        <sz val="10"/>
        <rFont val="Verdana"/>
        <family val="2"/>
        <charset val="204"/>
      </rPr>
      <t>шт.</t>
    </r>
    <r>
      <rPr>
        <sz val="10"/>
        <rFont val="Verdana"/>
        <family val="2"/>
        <charset val="204"/>
      </rPr>
      <t xml:space="preserve">
об'єм резервуарів - </t>
    </r>
    <r>
      <rPr>
        <b/>
        <sz val="10"/>
        <rFont val="Verdana"/>
        <family val="2"/>
        <charset val="204"/>
      </rPr>
      <t>4х10=40 м3</t>
    </r>
    <r>
      <rPr>
        <sz val="10"/>
        <rFont val="Verdana"/>
        <family val="2"/>
        <charset val="204"/>
      </rPr>
      <t xml:space="preserve">
Демонтаж заземлення,власне резервуар
</t>
    </r>
    <r>
      <rPr>
        <b/>
        <sz val="10"/>
        <rFont val="Verdana"/>
        <family val="2"/>
        <charset val="204"/>
      </rPr>
      <t>(Окреме погодження Замовника)</t>
    </r>
    <r>
      <rPr>
        <sz val="10"/>
        <rFont val="Verdana"/>
        <family val="2"/>
        <charset val="204"/>
      </rPr>
      <t xml:space="preserve">
</t>
    </r>
  </si>
  <si>
    <r>
      <t xml:space="preserve">Демонтаж залізобетону  = 12 м3
</t>
    </r>
    <r>
      <rPr>
        <sz val="10"/>
        <color rgb="FFFF0000"/>
        <rFont val="Verdana"/>
        <family val="2"/>
        <charset val="204"/>
      </rPr>
      <t>В розцінку включено завантаження вивезення демонтованих матеріалів з утилізацією.</t>
    </r>
  </si>
  <si>
    <r>
      <t xml:space="preserve">Довжина трубопрободу з утепленням - </t>
    </r>
    <r>
      <rPr>
        <b/>
        <sz val="10"/>
        <rFont val="Verdana"/>
        <family val="2"/>
        <charset val="204"/>
      </rPr>
      <t>85 м.п.</t>
    </r>
    <r>
      <rPr>
        <sz val="10"/>
        <rFont val="Verdana"/>
        <family val="2"/>
        <charset val="204"/>
      </rPr>
      <t xml:space="preserve">, 
запірна арматура - </t>
    </r>
    <r>
      <rPr>
        <b/>
        <sz val="10"/>
        <rFont val="Verdana"/>
        <family val="2"/>
        <charset val="204"/>
      </rPr>
      <t>25 шт</t>
    </r>
    <r>
      <rPr>
        <sz val="10"/>
        <rFont val="Verdana"/>
        <family val="2"/>
        <charset val="204"/>
      </rPr>
      <t>.
Труба поліеттленова Ø (20; 25; 32; 40) мм 
крани - 18шт.; клапани зворотні - 3шт.</t>
    </r>
  </si>
  <si>
    <r>
      <t xml:space="preserve">Довжина трубопроводу з утепленням Т3- </t>
    </r>
    <r>
      <rPr>
        <b/>
        <sz val="10"/>
        <rFont val="Verdana"/>
        <family val="2"/>
        <charset val="204"/>
      </rPr>
      <t xml:space="preserve">34 м.п.
Труба поліеттленова Ø (20; 25;) мм 
</t>
    </r>
    <r>
      <rPr>
        <sz val="10"/>
        <rFont val="Verdana"/>
        <family val="2"/>
        <charset val="204"/>
      </rPr>
      <t xml:space="preserve">Запірна арматура - </t>
    </r>
    <r>
      <rPr>
        <b/>
        <sz val="10"/>
        <rFont val="Verdana"/>
        <family val="2"/>
        <charset val="204"/>
      </rPr>
      <t>10 шт</t>
    </r>
    <r>
      <rPr>
        <sz val="10"/>
        <rFont val="Verdana"/>
        <family val="2"/>
        <charset val="204"/>
      </rPr>
      <t>. Кріпильні матеріали</t>
    </r>
  </si>
  <si>
    <r>
      <rPr>
        <b/>
        <sz val="10"/>
        <rFont val="Verdana"/>
        <family val="2"/>
        <charset val="204"/>
      </rPr>
      <t>Перевезееня та Розвантаження</t>
    </r>
    <r>
      <rPr>
        <sz val="10"/>
        <rFont val="Verdana"/>
        <family val="2"/>
        <charset val="204"/>
      </rPr>
      <t xml:space="preserve">  (наземного модуля) резервуарів РМП Чернівці - Галич (нафтобаза) </t>
    </r>
  </si>
  <si>
    <r>
      <t xml:space="preserve">Кількість резервуарів - 4 шт.
Розвантаження резервуарів РМП!
Перевезення  - складова інших витрат 
</t>
    </r>
    <r>
      <rPr>
        <b/>
        <sz val="10"/>
        <rFont val="Verdana"/>
        <family val="2"/>
        <charset val="204"/>
      </rPr>
      <t>(166 км*2 виїзди=332 км)
(Окреме погодження Замовника)</t>
    </r>
    <r>
      <rPr>
        <sz val="10"/>
        <rFont val="Verdana"/>
        <family val="2"/>
        <charset val="204"/>
      </rPr>
      <t xml:space="preserve">
</t>
    </r>
  </si>
  <si>
    <t>Завантаження,перевезення та утилізація матеріалу існуючий грунт вийнятий з при розробці котловану РМП</t>
  </si>
  <si>
    <t>2.1.9</t>
  </si>
  <si>
    <r>
      <t xml:space="preserve">Демонтаж залізобетоних </t>
    </r>
    <r>
      <rPr>
        <b/>
        <sz val="10"/>
        <color rgb="FF000000"/>
        <rFont val="Verdana"/>
        <family val="2"/>
        <charset val="204"/>
      </rPr>
      <t>фундаментів Резервуару РМП</t>
    </r>
    <r>
      <rPr>
        <sz val="10"/>
        <color indexed="8"/>
        <rFont val="Verdana"/>
        <family val="2"/>
        <charset val="204"/>
      </rPr>
      <t xml:space="preserve"> з навантаженням на автосамоскиди та вивезення</t>
    </r>
  </si>
  <si>
    <t>Демонтаж та монтаж технологічних люків з навісними трубопроводами до та після проведення робіт із зачистки</t>
  </si>
  <si>
    <r>
      <t>Об'єм резервуарів -4х10=</t>
    </r>
    <r>
      <rPr>
        <b/>
        <sz val="10"/>
        <rFont val="Verdana"/>
        <family val="2"/>
        <charset val="204"/>
      </rPr>
      <t>40м3</t>
    </r>
    <r>
      <rPr>
        <sz val="10"/>
        <rFont val="Verdana"/>
        <family val="2"/>
        <charset val="204"/>
      </rPr>
      <t xml:space="preserve">
</t>
    </r>
  </si>
  <si>
    <t>кількість резервуарів- 4шт.,
обєм виємки мех -135м3 в тч вручну- 5м3 водовідвід 10маш/год.
Переміщення по території</t>
  </si>
  <si>
    <r>
      <t>Сантехнічні прилади (унітази -</t>
    </r>
    <r>
      <rPr>
        <b/>
        <sz val="10"/>
        <rFont val="Verdana"/>
        <family val="2"/>
        <charset val="204"/>
      </rPr>
      <t xml:space="preserve"> 5шт</t>
    </r>
    <r>
      <rPr>
        <sz val="10"/>
        <rFont val="Verdana"/>
        <family val="2"/>
        <charset val="204"/>
      </rPr>
      <t xml:space="preserve">, пісюари - </t>
    </r>
    <r>
      <rPr>
        <b/>
        <sz val="10"/>
        <rFont val="Verdana"/>
        <family val="2"/>
        <charset val="204"/>
      </rPr>
      <t>1шт</t>
    </r>
    <r>
      <rPr>
        <sz val="10"/>
        <rFont val="Verdana"/>
        <family val="2"/>
        <charset val="204"/>
      </rPr>
      <t>, умивальники -</t>
    </r>
    <r>
      <rPr>
        <b/>
        <sz val="10"/>
        <rFont val="Verdana"/>
        <family val="2"/>
        <charset val="204"/>
      </rPr>
      <t xml:space="preserve"> 3шт</t>
    </r>
    <r>
      <rPr>
        <sz val="10"/>
        <rFont val="Verdana"/>
        <family val="2"/>
        <charset val="204"/>
      </rPr>
      <t>, столешня -</t>
    </r>
    <r>
      <rPr>
        <b/>
        <sz val="10"/>
        <rFont val="Verdana"/>
        <family val="2"/>
        <charset val="204"/>
      </rPr>
      <t>2шт</t>
    </r>
    <r>
      <rPr>
        <sz val="10"/>
        <rFont val="Verdana"/>
        <family val="2"/>
        <charset val="204"/>
      </rPr>
      <t xml:space="preserve">, змішувачі - </t>
    </r>
    <r>
      <rPr>
        <b/>
        <sz val="10"/>
        <rFont val="Verdana"/>
        <family val="2"/>
        <charset val="204"/>
      </rPr>
      <t>2шт</t>
    </r>
    <r>
      <rPr>
        <sz val="10"/>
        <rFont val="Verdana"/>
        <family val="2"/>
        <charset val="204"/>
      </rPr>
      <t xml:space="preserve">, рукосушки+змішувач - </t>
    </r>
    <r>
      <rPr>
        <b/>
        <sz val="10"/>
        <rFont val="Verdana"/>
        <family val="2"/>
        <charset val="204"/>
      </rPr>
      <t>3шт</t>
    </r>
    <r>
      <rPr>
        <sz val="10"/>
        <rFont val="Verdana"/>
        <family val="2"/>
        <charset val="204"/>
      </rPr>
      <t xml:space="preserve">, сифони - </t>
    </r>
    <r>
      <rPr>
        <b/>
        <sz val="10"/>
        <rFont val="Verdana"/>
        <family val="2"/>
        <charset val="204"/>
      </rPr>
      <t>5шт</t>
    </r>
    <r>
      <rPr>
        <sz val="10"/>
        <rFont val="Verdana"/>
        <family val="2"/>
        <charset val="204"/>
      </rPr>
      <t xml:space="preserve">, фурнітура (гачки, тримачі, диспенсери мила) - </t>
    </r>
    <r>
      <rPr>
        <b/>
        <sz val="10"/>
        <rFont val="Verdana"/>
        <family val="2"/>
        <charset val="204"/>
      </rPr>
      <t>4компл</t>
    </r>
    <r>
      <rPr>
        <sz val="10"/>
        <rFont val="Verdana"/>
        <family val="2"/>
        <charset val="204"/>
      </rPr>
      <t xml:space="preserve">. Рами зливних механізмів - </t>
    </r>
    <r>
      <rPr>
        <b/>
        <sz val="10"/>
        <rFont val="Verdana"/>
        <family val="2"/>
        <charset val="204"/>
      </rPr>
      <t>5шт</t>
    </r>
    <r>
      <rPr>
        <sz val="10"/>
        <rFont val="Verdana"/>
        <family val="2"/>
        <charset val="204"/>
      </rPr>
      <t xml:space="preserve">, щітка для унітазу, корзина з педалью для туалетного паперу - </t>
    </r>
    <r>
      <rPr>
        <b/>
        <sz val="10"/>
        <rFont val="Verdana"/>
        <family val="2"/>
        <charset val="204"/>
      </rPr>
      <t>4компл</t>
    </r>
    <r>
      <rPr>
        <sz val="10"/>
        <rFont val="Verdana"/>
        <family val="2"/>
        <charset val="204"/>
      </rPr>
      <t xml:space="preserve">. Підключення мийок кафе - </t>
    </r>
    <r>
      <rPr>
        <b/>
        <sz val="10"/>
        <rFont val="Verdana"/>
        <family val="2"/>
        <charset val="204"/>
      </rPr>
      <t>3шт</t>
    </r>
    <r>
      <rPr>
        <sz val="10"/>
        <rFont val="Verdana"/>
        <family val="2"/>
        <charset val="204"/>
      </rPr>
      <t>.</t>
    </r>
  </si>
  <si>
    <r>
      <t xml:space="preserve">Виїмка грунту -  </t>
    </r>
    <r>
      <rPr>
        <b/>
        <sz val="10"/>
        <rFont val="Verdana"/>
        <family val="2"/>
        <charset val="204"/>
      </rPr>
      <t xml:space="preserve">256м3 </t>
    </r>
    <r>
      <rPr>
        <sz val="10"/>
        <rFont val="Verdana"/>
        <family val="2"/>
        <charset val="204"/>
      </rPr>
      <t xml:space="preserve">
(90м х 1,5 х 1,9) = 256 м3
Переміщення по майданчику.
</t>
    </r>
    <r>
      <rPr>
        <sz val="10"/>
        <color rgb="FFFF0000"/>
        <rFont val="Verdana"/>
        <family val="2"/>
        <charset val="204"/>
      </rPr>
      <t>(надлишок грунту - 205м3)</t>
    </r>
  </si>
  <si>
    <t>Монтаж футлярів електричних. Труба ПЕ 50мм технічна.</t>
  </si>
  <si>
    <t>3.1.18</t>
  </si>
  <si>
    <t>3.1.19</t>
  </si>
  <si>
    <t>3.1.20</t>
  </si>
  <si>
    <t>3.1.21</t>
  </si>
  <si>
    <r>
      <rPr>
        <b/>
        <sz val="10"/>
        <rFont val="Verdana"/>
        <family val="2"/>
        <charset val="204"/>
      </rPr>
      <t>Всього маса з врах. напл. металу, відходів та уточнення маси -</t>
    </r>
    <r>
      <rPr>
        <b/>
        <u/>
        <sz val="10"/>
        <rFont val="Verdana"/>
        <family val="2"/>
        <charset val="204"/>
      </rPr>
      <t>2,4т.</t>
    </r>
    <r>
      <rPr>
        <sz val="10"/>
        <rFont val="Verdana"/>
        <family val="2"/>
        <charset val="204"/>
      </rPr>
      <t xml:space="preserve">, в т. ч.:
</t>
    </r>
    <r>
      <rPr>
        <b/>
        <sz val="10"/>
        <rFont val="Verdana"/>
        <family val="2"/>
        <charset val="204"/>
      </rPr>
      <t>Колони: Кл-1 ÷ Кл-3;</t>
    </r>
    <r>
      <rPr>
        <sz val="10"/>
        <rFont val="Verdana"/>
        <family val="2"/>
        <charset val="204"/>
      </rPr>
      <t xml:space="preserve">
Маса загальна - ( 847кг ) - </t>
    </r>
    <r>
      <rPr>
        <b/>
        <sz val="10"/>
        <rFont val="Verdana"/>
        <family val="2"/>
        <charset val="204"/>
      </rPr>
      <t>0,85т ;</t>
    </r>
    <r>
      <rPr>
        <sz val="10"/>
        <rFont val="Verdana"/>
        <family val="2"/>
        <charset val="204"/>
      </rPr>
      <t xml:space="preserve">
</t>
    </r>
    <r>
      <rPr>
        <b/>
        <sz val="10"/>
        <rFont val="Verdana"/>
        <family val="2"/>
        <charset val="204"/>
      </rPr>
      <t>Балки: Бл-1 ÷ Бл-7, Бфл-1;</t>
    </r>
    <r>
      <rPr>
        <sz val="10"/>
        <rFont val="Verdana"/>
        <family val="2"/>
        <charset val="204"/>
      </rPr>
      <t xml:space="preserve">
Маса загальна - ( 1633,6кг ) - </t>
    </r>
    <r>
      <rPr>
        <b/>
        <sz val="10"/>
        <rFont val="Verdana"/>
        <family val="2"/>
        <charset val="204"/>
      </rPr>
      <t xml:space="preserve">1,63т ;
Прогони: Пл-1 ÷ Пл-2;
</t>
    </r>
    <r>
      <rPr>
        <sz val="10"/>
        <rFont val="Verdana"/>
        <family val="2"/>
        <charset val="204"/>
      </rPr>
      <t xml:space="preserve">Маса загальна - ( 577,6кг ) - </t>
    </r>
    <r>
      <rPr>
        <b/>
        <sz val="10"/>
        <rFont val="Verdana"/>
        <family val="2"/>
        <charset val="204"/>
      </rPr>
      <t>0,58т ;</t>
    </r>
    <r>
      <rPr>
        <sz val="10"/>
        <rFont val="Verdana"/>
        <family val="2"/>
        <charset val="204"/>
      </rPr>
      <t xml:space="preserve">
</t>
    </r>
    <r>
      <rPr>
        <b/>
        <sz val="10"/>
        <rFont val="Verdana"/>
        <family val="2"/>
        <charset val="204"/>
      </rPr>
      <t>Горизонтальні зв'язки: Зл-1 ÷ Зл-1; Гзл-1;</t>
    </r>
    <r>
      <rPr>
        <sz val="10"/>
        <rFont val="Verdana"/>
        <family val="2"/>
        <charset val="204"/>
      </rPr>
      <t xml:space="preserve">
Маса загальна - ( 144,3кг ) - </t>
    </r>
    <r>
      <rPr>
        <b/>
        <sz val="10"/>
        <rFont val="Verdana"/>
        <family val="2"/>
        <charset val="204"/>
      </rPr>
      <t>0,14т ;
Опорні пластини, кутники 66,4кг</t>
    </r>
    <r>
      <rPr>
        <sz val="10"/>
        <rFont val="Verdana"/>
        <family val="2"/>
        <charset val="204"/>
      </rPr>
      <t xml:space="preserve">
</t>
    </r>
    <r>
      <rPr>
        <b/>
        <sz val="10"/>
        <rFont val="Verdana"/>
        <family val="2"/>
        <charset val="204"/>
      </rPr>
      <t xml:space="preserve">(грунтування, фарбування)
</t>
    </r>
  </si>
  <si>
    <r>
      <t xml:space="preserve">Каналізація К1, К3 (до першого
зовнішнього колодязя) - </t>
    </r>
    <r>
      <rPr>
        <b/>
        <sz val="10"/>
        <rFont val="Verdana"/>
        <family val="2"/>
        <charset val="204"/>
      </rPr>
      <t>92 м.п.</t>
    </r>
    <r>
      <rPr>
        <sz val="10"/>
        <rFont val="Verdana"/>
        <family val="2"/>
        <charset val="204"/>
      </rPr>
      <t xml:space="preserve">, в т.ч.:
Ø50 мм - </t>
    </r>
    <r>
      <rPr>
        <b/>
        <sz val="10"/>
        <rFont val="Verdana"/>
        <family val="2"/>
        <charset val="204"/>
      </rPr>
      <t xml:space="preserve">38 м.п.  </t>
    </r>
    <r>
      <rPr>
        <sz val="10"/>
        <rFont val="Verdana"/>
        <family val="2"/>
        <charset val="204"/>
      </rPr>
      <t xml:space="preserve">Ø110 мм - </t>
    </r>
    <r>
      <rPr>
        <b/>
        <sz val="10"/>
        <rFont val="Verdana"/>
        <family val="2"/>
        <charset val="204"/>
      </rPr>
      <t>54 м.п.</t>
    </r>
    <r>
      <rPr>
        <sz val="10"/>
        <rFont val="Verdana"/>
        <family val="2"/>
        <charset val="204"/>
      </rPr>
      <t xml:space="preserve">
Заглушка Ø50 мм - </t>
    </r>
    <r>
      <rPr>
        <b/>
        <sz val="10"/>
        <rFont val="Verdana"/>
        <family val="2"/>
        <charset val="204"/>
      </rPr>
      <t>6 шт.</t>
    </r>
    <r>
      <rPr>
        <sz val="10"/>
        <rFont val="Verdana"/>
        <family val="2"/>
        <charset val="204"/>
      </rPr>
      <t xml:space="preserve">
Заглушка Ø110 мм - </t>
    </r>
    <r>
      <rPr>
        <b/>
        <sz val="10"/>
        <rFont val="Verdana"/>
        <family val="2"/>
        <charset val="204"/>
      </rPr>
      <t>9 шт.</t>
    </r>
    <r>
      <rPr>
        <sz val="10"/>
        <rFont val="Verdana"/>
        <family val="2"/>
        <charset val="204"/>
      </rPr>
      <t xml:space="preserve">
Ревізія Ø110 мм - </t>
    </r>
    <r>
      <rPr>
        <b/>
        <sz val="10"/>
        <rFont val="Verdana"/>
        <family val="2"/>
        <charset val="204"/>
      </rPr>
      <t>3 шт.</t>
    </r>
    <r>
      <rPr>
        <sz val="10"/>
        <rFont val="Verdana"/>
        <family val="2"/>
        <charset val="204"/>
      </rPr>
      <t xml:space="preserve">
Повітряний клапан Ø50 мм - </t>
    </r>
    <r>
      <rPr>
        <b/>
        <sz val="10"/>
        <rFont val="Verdana"/>
        <family val="2"/>
        <charset val="204"/>
      </rPr>
      <t xml:space="preserve">1 шт.
</t>
    </r>
    <r>
      <rPr>
        <sz val="10"/>
        <rFont val="Verdana"/>
        <family val="2"/>
        <charset val="204"/>
      </rPr>
      <t>Повітряний клапан Ø100 мм</t>
    </r>
    <r>
      <rPr>
        <b/>
        <sz val="10"/>
        <rFont val="Verdana"/>
        <family val="2"/>
        <charset val="204"/>
      </rPr>
      <t xml:space="preserve"> - 1 шт.</t>
    </r>
    <r>
      <rPr>
        <sz val="10"/>
        <rFont val="Verdana"/>
        <family val="2"/>
        <charset val="204"/>
      </rPr>
      <t xml:space="preserve">
Трап КТ-50 - </t>
    </r>
    <r>
      <rPr>
        <b/>
        <sz val="10"/>
        <rFont val="Verdana"/>
        <family val="2"/>
        <charset val="204"/>
      </rPr>
      <t>9 шт.</t>
    </r>
  </si>
  <si>
    <t>3.3.37</t>
  </si>
  <si>
    <t>3.3.38</t>
  </si>
  <si>
    <r>
      <t xml:space="preserve">площа покриття - </t>
    </r>
    <r>
      <rPr>
        <b/>
        <sz val="10"/>
        <color rgb="FF000000"/>
        <rFont val="Verdana"/>
        <family val="2"/>
        <charset val="204"/>
      </rPr>
      <t>175 м2</t>
    </r>
    <r>
      <rPr>
        <sz val="10"/>
        <color indexed="8"/>
        <rFont val="Verdana"/>
        <family val="2"/>
      </rPr>
      <t xml:space="preserve"> з врахуванням напуску.
профнастил  ПН-45 товщ. 0,7мм - закривається фізична площа без напусків.</t>
    </r>
  </si>
  <si>
    <r>
      <t xml:space="preserve">Підсилення металоконструкції існуючого навісу над ПРК (виготовлення та монтаж + пофарбування)
</t>
    </r>
    <r>
      <rPr>
        <b/>
        <sz val="10"/>
        <rFont val="Verdana"/>
        <family val="2"/>
        <charset val="204"/>
      </rPr>
      <t xml:space="preserve">Згідно проекту 0009-25-1,2-КМ </t>
    </r>
  </si>
  <si>
    <r>
      <rPr>
        <b/>
        <u/>
        <sz val="10"/>
        <rFont val="Verdana"/>
        <family val="2"/>
        <charset val="204"/>
      </rPr>
      <t>Загальна довжина кабелів</t>
    </r>
    <r>
      <rPr>
        <u/>
        <sz val="10"/>
        <rFont val="Verdana"/>
        <family val="2"/>
        <charset val="204"/>
      </rPr>
      <t xml:space="preserve"> - </t>
    </r>
    <r>
      <rPr>
        <b/>
        <u/>
        <sz val="10"/>
        <rFont val="Verdana"/>
        <family val="2"/>
        <charset val="204"/>
      </rPr>
      <t>952 м.п. вентиляція</t>
    </r>
    <r>
      <rPr>
        <sz val="10"/>
        <rFont val="Verdana"/>
        <family val="2"/>
        <charset val="204"/>
      </rPr>
      <t xml:space="preserve"> (всі видимі ділянки по стелі прокладаються по елекртричним лоткам, в г/к стінах в чорній гофротрубі закріпленій до стін, в тому числі в футлярах)
</t>
    </r>
    <r>
      <rPr>
        <b/>
        <u/>
        <sz val="10"/>
        <rFont val="Verdana"/>
        <family val="2"/>
        <charset val="204"/>
      </rPr>
      <t>Вентиляція:</t>
    </r>
    <r>
      <rPr>
        <sz val="10"/>
        <rFont val="Verdana"/>
        <family val="2"/>
        <charset val="204"/>
      </rPr>
      <t xml:space="preserve">
ВВГнгд 5x16 - </t>
    </r>
    <r>
      <rPr>
        <b/>
        <sz val="10"/>
        <rFont val="Verdana"/>
        <family val="2"/>
        <charset val="204"/>
      </rPr>
      <t xml:space="preserve">24 м.п., </t>
    </r>
    <r>
      <rPr>
        <sz val="10"/>
        <rFont val="Verdana"/>
        <family val="2"/>
        <charset val="204"/>
      </rPr>
      <t xml:space="preserve">ВВГнгд 5х6 - </t>
    </r>
    <r>
      <rPr>
        <b/>
        <sz val="10"/>
        <rFont val="Verdana"/>
        <family val="2"/>
        <charset val="204"/>
      </rPr>
      <t xml:space="preserve">28 м.п., </t>
    </r>
    <r>
      <rPr>
        <sz val="10"/>
        <rFont val="Verdana"/>
        <family val="2"/>
        <charset val="204"/>
      </rPr>
      <t xml:space="preserve">ВВГнгд 5х4 - </t>
    </r>
    <r>
      <rPr>
        <b/>
        <sz val="10"/>
        <rFont val="Verdana"/>
        <family val="2"/>
        <charset val="204"/>
      </rPr>
      <t xml:space="preserve">69 м.п., </t>
    </r>
    <r>
      <rPr>
        <sz val="10"/>
        <rFont val="Verdana"/>
        <family val="2"/>
        <charset val="204"/>
      </rPr>
      <t xml:space="preserve">ВВГнгд 5х2,5 - </t>
    </r>
    <r>
      <rPr>
        <b/>
        <sz val="10"/>
        <rFont val="Verdana"/>
        <family val="2"/>
        <charset val="204"/>
      </rPr>
      <t xml:space="preserve">182 м.п., </t>
    </r>
    <r>
      <rPr>
        <sz val="10"/>
        <rFont val="Verdana"/>
        <family val="2"/>
        <charset val="204"/>
      </rPr>
      <t xml:space="preserve">ВВГнгд 5х1,5 - </t>
    </r>
    <r>
      <rPr>
        <b/>
        <sz val="10"/>
        <rFont val="Verdana"/>
        <family val="2"/>
        <charset val="204"/>
      </rPr>
      <t xml:space="preserve">48 м.п., </t>
    </r>
    <r>
      <rPr>
        <sz val="10"/>
        <rFont val="Verdana"/>
        <family val="2"/>
        <charset val="204"/>
      </rPr>
      <t xml:space="preserve">ВВГнгд 3х2,5 - </t>
    </r>
    <r>
      <rPr>
        <b/>
        <sz val="10"/>
        <rFont val="Verdana"/>
        <family val="2"/>
        <charset val="204"/>
      </rPr>
      <t xml:space="preserve">279 м.п., </t>
    </r>
    <r>
      <rPr>
        <sz val="10"/>
        <rFont val="Verdana"/>
        <family val="2"/>
        <charset val="204"/>
      </rPr>
      <t xml:space="preserve">ВВГнгд 3х1,5 - </t>
    </r>
    <r>
      <rPr>
        <b/>
        <sz val="10"/>
        <rFont val="Verdana"/>
        <family val="2"/>
        <charset val="204"/>
      </rPr>
      <t xml:space="preserve">83 м.п., </t>
    </r>
    <r>
      <rPr>
        <sz val="10"/>
        <rFont val="Verdana"/>
        <family val="2"/>
        <charset val="204"/>
      </rPr>
      <t xml:space="preserve">FLAME-X 950 (N)HXH FE180/E30 3х1,5 - </t>
    </r>
    <r>
      <rPr>
        <b/>
        <sz val="10"/>
        <rFont val="Verdana"/>
        <family val="2"/>
        <charset val="204"/>
      </rPr>
      <t xml:space="preserve">23 м.п., </t>
    </r>
    <r>
      <rPr>
        <sz val="10"/>
        <rFont val="Verdana"/>
        <family val="2"/>
        <charset val="204"/>
      </rPr>
      <t xml:space="preserve">ПВ-3нгд 1х16 мм² зелений - </t>
    </r>
    <r>
      <rPr>
        <b/>
        <sz val="10"/>
        <rFont val="Verdana"/>
        <family val="2"/>
        <charset val="204"/>
      </rPr>
      <t xml:space="preserve">8 м.п., </t>
    </r>
    <r>
      <rPr>
        <sz val="10"/>
        <rFont val="Verdana"/>
        <family val="2"/>
        <charset val="204"/>
      </rPr>
      <t xml:space="preserve">ПВ-3нгд 1х16 мм² синій - </t>
    </r>
    <r>
      <rPr>
        <b/>
        <sz val="10"/>
        <rFont val="Verdana"/>
        <family val="2"/>
        <charset val="204"/>
      </rPr>
      <t xml:space="preserve">8 м.п.
</t>
    </r>
    <r>
      <rPr>
        <b/>
        <u/>
        <sz val="10"/>
        <rFont val="Verdana"/>
        <family val="2"/>
        <charset val="204"/>
      </rPr>
      <t>Заземлення:</t>
    </r>
    <r>
      <rPr>
        <sz val="10"/>
        <rFont val="Verdana"/>
        <family val="2"/>
        <charset val="204"/>
      </rPr>
      <t xml:space="preserve">
ПВ-3 1х10 мм² жовто-зелений - </t>
    </r>
    <r>
      <rPr>
        <b/>
        <sz val="10"/>
        <rFont val="Verdana"/>
        <family val="2"/>
        <charset val="204"/>
      </rPr>
      <t>100 м.п.</t>
    </r>
    <r>
      <rPr>
        <sz val="10"/>
        <rFont val="Verdana"/>
        <family val="2"/>
        <charset val="204"/>
      </rPr>
      <t xml:space="preserve">
ПВ-3 1х6 мм² жовто-зелений - </t>
    </r>
    <r>
      <rPr>
        <b/>
        <sz val="10"/>
        <rFont val="Verdana"/>
        <family val="2"/>
        <charset val="204"/>
      </rPr>
      <t>100 м.п.</t>
    </r>
  </si>
  <si>
    <r>
      <t xml:space="preserve">Всього маса з врах. напл. металу, відходів та уточнення маси - </t>
    </r>
    <r>
      <rPr>
        <b/>
        <sz val="10"/>
        <rFont val="Verdana"/>
        <family val="2"/>
        <charset val="204"/>
      </rPr>
      <t>0,66 т.</t>
    </r>
    <r>
      <rPr>
        <sz val="10"/>
        <rFont val="Verdana"/>
        <family val="2"/>
        <charset val="204"/>
      </rPr>
      <t xml:space="preserve">
Маса загальна -</t>
    </r>
    <r>
      <rPr>
        <b/>
        <sz val="10"/>
        <rFont val="Verdana"/>
        <family val="2"/>
        <charset val="204"/>
      </rPr>
      <t xml:space="preserve"> 0,65т;</t>
    </r>
    <r>
      <rPr>
        <sz val="10"/>
        <rFont val="Verdana"/>
        <family val="2"/>
        <charset val="204"/>
      </rPr>
      <t xml:space="preserve">
Бп-1 - </t>
    </r>
    <r>
      <rPr>
        <b/>
        <sz val="10"/>
        <rFont val="Verdana"/>
        <family val="2"/>
        <charset val="204"/>
      </rPr>
      <t>265,2 кг.</t>
    </r>
    <r>
      <rPr>
        <sz val="10"/>
        <rFont val="Verdana"/>
        <family val="2"/>
        <charset val="204"/>
      </rPr>
      <t xml:space="preserve">
Бп-2 - </t>
    </r>
    <r>
      <rPr>
        <b/>
        <sz val="10"/>
        <rFont val="Verdana"/>
        <family val="2"/>
        <charset val="204"/>
      </rPr>
      <t>133,2 кг.</t>
    </r>
    <r>
      <rPr>
        <sz val="10"/>
        <rFont val="Verdana"/>
        <family val="2"/>
        <charset val="204"/>
      </rPr>
      <t xml:space="preserve">
Бп-3 - </t>
    </r>
    <r>
      <rPr>
        <b/>
        <sz val="10"/>
        <rFont val="Verdana"/>
        <family val="2"/>
        <charset val="204"/>
      </rPr>
      <t>113,2 кг.</t>
    </r>
    <r>
      <rPr>
        <sz val="10"/>
        <rFont val="Verdana"/>
        <family val="2"/>
        <charset val="204"/>
      </rPr>
      <t xml:space="preserve">
Бп-4 - </t>
    </r>
    <r>
      <rPr>
        <b/>
        <sz val="10"/>
        <rFont val="Verdana"/>
        <family val="2"/>
        <charset val="204"/>
      </rPr>
      <t>134,8 кг.</t>
    </r>
    <r>
      <rPr>
        <sz val="10"/>
        <rFont val="Verdana"/>
        <family val="2"/>
        <charset val="204"/>
      </rPr>
      <t xml:space="preserve">
Затяжка Т-1 - </t>
    </r>
    <r>
      <rPr>
        <b/>
        <sz val="10"/>
        <rFont val="Verdana"/>
        <family val="2"/>
        <charset val="204"/>
      </rPr>
      <t>4 шт.</t>
    </r>
  </si>
  <si>
    <t>1.</t>
  </si>
  <si>
    <t>1.4</t>
  </si>
  <si>
    <t>1.5</t>
  </si>
  <si>
    <t>1.6</t>
  </si>
  <si>
    <t>1.7</t>
  </si>
  <si>
    <t>1.8</t>
  </si>
  <si>
    <t>1.9</t>
  </si>
  <si>
    <t>1.10</t>
  </si>
  <si>
    <t>1.11</t>
  </si>
  <si>
    <t>1.12</t>
  </si>
  <si>
    <t>1.13</t>
  </si>
  <si>
    <t>1.14</t>
  </si>
  <si>
    <t>1.15</t>
  </si>
  <si>
    <t>1.16</t>
  </si>
  <si>
    <t>Винесення осей будівель та споруд в натуру,
(з належними актами)</t>
  </si>
  <si>
    <t>Демонтаж існуючого кабелю міського освітлення, демонтаж 2-х опор</t>
  </si>
  <si>
    <r>
      <t xml:space="preserve">Сепаратора нафтопродуктів Biobox N 3/15
</t>
    </r>
    <r>
      <rPr>
        <b/>
        <sz val="10"/>
        <rFont val="Verdana"/>
        <family val="2"/>
        <charset val="204"/>
      </rPr>
      <t>Окреме погодження замовника, Закривається окремим рахунком</t>
    </r>
  </si>
  <si>
    <r>
      <t xml:space="preserve">Кількість одиниць техніки </t>
    </r>
    <r>
      <rPr>
        <b/>
        <sz val="10"/>
        <rFont val="Verdana"/>
        <family val="2"/>
        <charset val="204"/>
      </rPr>
      <t>- 4 шт.</t>
    </r>
    <r>
      <rPr>
        <sz val="10"/>
        <rFont val="Verdana"/>
        <family val="2"/>
        <charset val="204"/>
      </rPr>
      <t xml:space="preserve"> 
вартість диз. палива - 75 грн/літра</t>
    </r>
  </si>
  <si>
    <t>Відповідальність Підрядника
Спеціалізований
підрядник</t>
  </si>
  <si>
    <t>Отримання ордеру (дозволу) на проведення земляних робіт. Отримання погодження від Деп. Нац. Поліції для проведення робіт вздовж траси, погодження відновлення благоустрою з місцевим ШЕД. Виконання всіх робіт під ключ</t>
  </si>
  <si>
    <r>
      <t xml:space="preserve">Виготовлення ПВР - </t>
    </r>
    <r>
      <rPr>
        <b/>
        <sz val="10"/>
        <rFont val="Verdana"/>
        <family val="2"/>
        <charset val="204"/>
      </rPr>
      <t>1шт;</t>
    </r>
    <r>
      <rPr>
        <sz val="10"/>
        <rFont val="Verdana"/>
        <family val="2"/>
        <charset val="204"/>
      </rPr>
      <t xml:space="preserve"> Тимчасовий ОДР з погодженням - </t>
    </r>
    <r>
      <rPr>
        <b/>
        <sz val="10"/>
        <rFont val="Verdana"/>
        <family val="2"/>
        <charset val="204"/>
      </rPr>
      <t>1шт</t>
    </r>
    <r>
      <rPr>
        <sz val="10"/>
        <rFont val="Verdana"/>
        <family val="2"/>
        <charset val="204"/>
      </rPr>
      <t>. - власне виконання ліцензованою організацією.</t>
    </r>
  </si>
  <si>
    <r>
      <t xml:space="preserve">Ущільнення дна котловану важкими котками 16т </t>
    </r>
    <r>
      <rPr>
        <b/>
        <u/>
        <sz val="10"/>
        <rFont val="Verdana"/>
        <family val="2"/>
        <charset val="204"/>
      </rPr>
      <t>перед влаштуванням насипу</t>
    </r>
    <r>
      <rPr>
        <sz val="10"/>
        <rFont val="Verdana"/>
        <family val="2"/>
        <charset val="204"/>
      </rPr>
      <t>. 
На площу 1100 м2</t>
    </r>
  </si>
  <si>
    <r>
      <t xml:space="preserve">Геодезичне знімання після проведення  
будівельно-монтажних робіт!
Комплекс (АЗК) - </t>
    </r>
    <r>
      <rPr>
        <b/>
        <sz val="10"/>
        <rFont val="Verdana"/>
        <family val="2"/>
        <charset val="204"/>
      </rPr>
      <t>1 компл.</t>
    </r>
    <r>
      <rPr>
        <sz val="10"/>
        <rFont val="Verdana"/>
        <family val="2"/>
        <charset val="204"/>
      </rPr>
      <t xml:space="preserve">
</t>
    </r>
  </si>
  <si>
    <t>Завантаження,перевезення та утилізація матеріалу існуючий грунт вийнятий з території будівельного майданчику!  В розцінку включено коефіцієнт розпушення грунту для перев.  - 1,27. В об'ємах закривається геометричний об'єм без коеф розпушення.</t>
  </si>
  <si>
    <r>
      <rPr>
        <u/>
        <sz val="10"/>
        <color rgb="FFFF0000"/>
        <rFont val="Verdana"/>
        <family val="2"/>
        <charset val="204"/>
      </rPr>
      <t>Без збереження матеріалів.</t>
    </r>
    <r>
      <rPr>
        <sz val="10"/>
        <color indexed="8"/>
        <rFont val="Verdana"/>
        <family val="2"/>
        <charset val="204"/>
      </rPr>
      <t xml:space="preserve"> Демонтаж бордюра, основи (бетон, щебінь). Завантаження демонтованих матеріалів  для вивезення та утилізація</t>
    </r>
  </si>
  <si>
    <t xml:space="preserve">Виконання всіх робіт під ключ з введенням мереж в експлуатацію
</t>
  </si>
  <si>
    <r>
      <t xml:space="preserve">Дорожня основа щебінь 40-70 -20см та 20-40 -10см </t>
    </r>
    <r>
      <rPr>
        <b/>
        <sz val="10"/>
        <rFont val="Verdana"/>
        <family val="2"/>
        <charset val="204"/>
      </rPr>
      <t>(підстилаючий шар 300мм)</t>
    </r>
  </si>
  <si>
    <r>
      <t>Усього острівців -</t>
    </r>
    <r>
      <rPr>
        <b/>
        <sz val="10"/>
        <rFont val="Verdana"/>
        <family val="2"/>
        <charset val="204"/>
      </rPr>
      <t xml:space="preserve"> 2шт.   (2*1,25 = 2,5м3)
(6,9 * 1,2 * 0,15) = 1,25м3</t>
    </r>
    <r>
      <rPr>
        <sz val="10"/>
        <rFont val="Verdana"/>
        <family val="2"/>
        <charset val="204"/>
      </rPr>
      <t xml:space="preserve">
Демонтаж бетону з навантаженням на автомобіль та утилізація матеріалів</t>
    </r>
    <r>
      <rPr>
        <sz val="10"/>
        <color rgb="FFFF0000"/>
        <rFont val="Verdana"/>
        <family val="2"/>
        <charset val="204"/>
      </rPr>
      <t xml:space="preserve"> (без зберігання матеріалу) </t>
    </r>
  </si>
  <si>
    <r>
      <rPr>
        <b/>
        <sz val="10"/>
        <rFont val="Verdana"/>
        <family val="2"/>
        <charset val="204"/>
      </rPr>
      <t xml:space="preserve">Блискавкоприймач поцинкований 
висотою 17 мп (454кг) 
</t>
    </r>
    <r>
      <rPr>
        <sz val="10"/>
        <rFont val="Verdana"/>
        <family val="2"/>
        <charset val="204"/>
      </rPr>
      <t>(болти, гайки, шайби -комплект)
фундамент з бет. кл С16/20 - 2,4м3 Металоємність фундаменту - 216кг. 
Заземлення смугою 40*4 -10 м.п. електроди вертик кутник 50Х5  L=3мп -3шт.</t>
    </r>
  </si>
  <si>
    <r>
      <t xml:space="preserve">Площа демонтажу - 900м2
товщиною 200мм і більше
</t>
    </r>
    <r>
      <rPr>
        <sz val="10"/>
        <color rgb="FFFF0000"/>
        <rFont val="Verdana"/>
        <family val="2"/>
        <charset val="204"/>
      </rPr>
      <t xml:space="preserve">(без зберігання матеріалу) </t>
    </r>
  </si>
  <si>
    <r>
      <t xml:space="preserve">Демонтаж покриття навісу ПРК з профнастилу при потребі. </t>
    </r>
    <r>
      <rPr>
        <b/>
        <sz val="10"/>
        <color rgb="FFFF0000"/>
        <rFont val="Verdana"/>
        <family val="2"/>
        <charset val="204"/>
      </rPr>
      <t>(Зі збереженням матеріалу)</t>
    </r>
  </si>
  <si>
    <t>Влаштування бетонної підготовки під фундамент Ф1;  С8/10 -2,6 м3 Опалубка (оборотність) - включена в розцінку.</t>
  </si>
  <si>
    <r>
      <t xml:space="preserve">Загальнобудівельні роботи при монтажі резервуарного парку.  </t>
    </r>
    <r>
      <rPr>
        <sz val="10"/>
        <rFont val="Arial Cyr"/>
        <charset val="204"/>
      </rPr>
      <t xml:space="preserve">Влаштування  підбетонок під фундамент Ф1; </t>
    </r>
  </si>
  <si>
    <r>
      <t xml:space="preserve">довжина лотків </t>
    </r>
    <r>
      <rPr>
        <b/>
        <sz val="10"/>
        <color theme="1"/>
        <rFont val="Verdana"/>
        <family val="2"/>
        <charset val="204"/>
      </rPr>
      <t>MAXI 160 - 40м.п</t>
    </r>
    <r>
      <rPr>
        <sz val="10"/>
        <color theme="1"/>
        <rFont val="Verdana"/>
        <family val="2"/>
        <charset val="204"/>
      </rPr>
      <t>. (пісковловлювачі - 4шт*0,5м.п., 160мм) -входять в загальний метраж) Бетон - 0,3м3/м.п. Армування бетону - 3 прута арматури Ø10 А400К на всю довжину лотків.</t>
    </r>
  </si>
  <si>
    <r>
      <t xml:space="preserve">Площа покрівлі навісу - </t>
    </r>
    <r>
      <rPr>
        <b/>
        <sz val="10"/>
        <rFont val="Verdana"/>
        <family val="2"/>
        <charset val="204"/>
      </rPr>
      <t xml:space="preserve">210м2
</t>
    </r>
    <r>
      <rPr>
        <sz val="10"/>
        <rFont val="Verdana"/>
        <family val="2"/>
        <charset val="204"/>
      </rPr>
      <t xml:space="preserve">Демонтаж профнастилу навісу ПРК.
</t>
    </r>
    <r>
      <rPr>
        <sz val="10"/>
        <color rgb="FFFF0000"/>
        <rFont val="Verdana"/>
        <family val="2"/>
        <charset val="204"/>
      </rPr>
      <t xml:space="preserve">Дефектний акт на збереженням матеріалу
</t>
    </r>
    <r>
      <rPr>
        <sz val="10"/>
        <rFont val="Verdana"/>
        <family val="2"/>
        <charset val="204"/>
      </rPr>
      <t>Профлист для повторного використання при влаштуванні тимчасової огорожі ( уточнюється по факту поз. 1.2 ДЦ)</t>
    </r>
  </si>
  <si>
    <r>
      <t>Загальнобудівельні роботи</t>
    </r>
    <r>
      <rPr>
        <sz val="10"/>
        <rFont val="Verdana"/>
        <family val="2"/>
        <charset val="204"/>
      </rPr>
      <t xml:space="preserve"> при монтажі паливного резервуару (влаштування фундаментів,виготовлення закладних деталей,гідроізоляція).</t>
    </r>
  </si>
  <si>
    <t>Фундаменти :
креслення уточнюються після отримання резервуару Ф 1- 5,86м3
арматура - 0,396 т закладні - 100,8 кг</t>
  </si>
  <si>
    <r>
      <t xml:space="preserve">Перевезення інвентарних споруд - </t>
    </r>
    <r>
      <rPr>
        <b/>
        <sz val="10"/>
        <rFont val="Verdana"/>
        <family val="2"/>
        <charset val="204"/>
      </rPr>
      <t>1шт.</t>
    </r>
    <r>
      <rPr>
        <sz val="10"/>
        <rFont val="Verdana"/>
        <family val="2"/>
        <charset val="204"/>
      </rPr>
      <t xml:space="preserve">
Перевезення - складова інших витрат орінтовно </t>
    </r>
    <r>
      <rPr>
        <b/>
        <sz val="10"/>
        <rFont val="Verdana"/>
        <family val="2"/>
        <charset val="204"/>
      </rPr>
      <t>150км
(Окреме погодження Замовника)</t>
    </r>
  </si>
  <si>
    <t>Загальнобудівельні роботи після  монтажу паливного резервуару  (засипання резервуарного парку з трамбуванням)</t>
  </si>
  <si>
    <t xml:space="preserve">обєм засипки - 135 м3 
(з них новий матеріал пісок  - 120м3 та щебінь -15м3). В розцінці матеріалу враховано коеф. ущільнення </t>
  </si>
  <si>
    <r>
      <t xml:space="preserve">Демонта кабелю - </t>
    </r>
    <r>
      <rPr>
        <b/>
        <sz val="10"/>
        <rFont val="Verdana"/>
        <family val="2"/>
        <charset val="204"/>
      </rPr>
      <t xml:space="preserve">100мп, </t>
    </r>
    <r>
      <rPr>
        <sz val="10"/>
        <rFont val="Verdana"/>
        <family val="2"/>
        <charset val="204"/>
      </rPr>
      <t xml:space="preserve">
демонтаж світильників -</t>
    </r>
    <r>
      <rPr>
        <b/>
        <sz val="10"/>
        <rFont val="Verdana"/>
        <family val="2"/>
        <charset val="204"/>
      </rPr>
      <t xml:space="preserve"> 2шт</t>
    </r>
    <r>
      <rPr>
        <sz val="10"/>
        <rFont val="Verdana"/>
        <family val="2"/>
        <charset val="204"/>
      </rPr>
      <t xml:space="preserve">
Демонтаж опор -</t>
    </r>
    <r>
      <rPr>
        <b/>
        <sz val="10"/>
        <rFont val="Verdana"/>
        <family val="2"/>
        <charset val="204"/>
      </rPr>
      <t>2шт</t>
    </r>
    <r>
      <rPr>
        <sz val="10"/>
        <rFont val="Verdana"/>
        <family val="2"/>
        <charset val="204"/>
      </rPr>
      <t xml:space="preserve"> з утилізацією. Робота автокрану - 4 год., автовежа - 3год.</t>
    </r>
  </si>
  <si>
    <t>Монтаж ПРК  (без підключення)
Передбачає розвантаження та встановлення на тимчасове місце.</t>
  </si>
  <si>
    <t>кількість ПРК - 2шт</t>
  </si>
  <si>
    <t>кількість приямків - 2 шт; Бетон C 10/12 - 0,6м3 армування - 30 кг.</t>
  </si>
  <si>
    <t>Робота автокрана при демонтажі/монтажі технологічних колодязів, підколодязників та розвантаженні автомашини з технологічним обладнанням на резервуарному парку</t>
  </si>
  <si>
    <t>Мережі заземлення та блискавкозахисту 
(на покрівлі АЗК - Спеціалізований підрядник)
(монтаж опор, прокладання заземлювачів, приєднання до усіх металевих елементів, фарбування стиків)</t>
  </si>
  <si>
    <t>2.2.4</t>
  </si>
  <si>
    <t>2.2.5</t>
  </si>
  <si>
    <t>2.2.6</t>
  </si>
  <si>
    <t>2.2.7</t>
  </si>
  <si>
    <t>2.2.8</t>
  </si>
  <si>
    <t>2.2.9</t>
  </si>
  <si>
    <t>2.2.10</t>
  </si>
  <si>
    <t>Зовнішні склади, відмостка, комунікації тощо.</t>
  </si>
  <si>
    <t>Обєм мех. виємки - 69,5м3
Зовнішні склади, відмостка, комунікації тощо.</t>
  </si>
  <si>
    <t>2.3</t>
  </si>
  <si>
    <t>2.3.1</t>
  </si>
  <si>
    <t>2.3.2</t>
  </si>
  <si>
    <r>
      <t xml:space="preserve">Демонтаж </t>
    </r>
    <r>
      <rPr>
        <b/>
        <sz val="10"/>
        <rFont val="Verdana"/>
        <family val="2"/>
        <charset val="204"/>
      </rPr>
      <t>вітки каналізації.</t>
    </r>
    <r>
      <rPr>
        <sz val="10"/>
        <rFont val="Verdana"/>
        <family val="2"/>
        <charset val="204"/>
      </rPr>
      <t xml:space="preserve">  
В розцінку включено вивезення демонтованих матеріалів з утилізацією!
</t>
    </r>
    <r>
      <rPr>
        <sz val="10"/>
        <color rgb="FFFF0000"/>
        <rFont val="Verdana"/>
        <family val="2"/>
        <charset val="204"/>
      </rPr>
      <t xml:space="preserve">(без зберігання матеріалу) </t>
    </r>
  </si>
  <si>
    <r>
      <t xml:space="preserve">
Демонтаж трубопроводу в межах 
забудови -</t>
    </r>
    <r>
      <rPr>
        <b/>
        <sz val="10"/>
        <rFont val="Verdana"/>
        <family val="2"/>
        <charset val="204"/>
      </rPr>
      <t xml:space="preserve">35м.п.  </t>
    </r>
    <r>
      <rPr>
        <sz val="10"/>
        <rFont val="Verdana"/>
        <family val="2"/>
        <charset val="204"/>
      </rPr>
      <t>-З/Б колодязь -1</t>
    </r>
    <r>
      <rPr>
        <b/>
        <sz val="10"/>
        <rFont val="Verdana"/>
        <family val="2"/>
        <charset val="204"/>
      </rPr>
      <t xml:space="preserve">шт
</t>
    </r>
    <r>
      <rPr>
        <sz val="10"/>
        <rFont val="Verdana"/>
        <family val="2"/>
        <charset val="204"/>
      </rPr>
      <t xml:space="preserve">Частковий демонтаж (Уточ. по факту)
</t>
    </r>
    <r>
      <rPr>
        <sz val="10"/>
        <color rgb="FFFF0000"/>
        <rFont val="Verdana"/>
        <family val="2"/>
        <charset val="204"/>
      </rPr>
      <t xml:space="preserve">(без зберігання матеріалу) </t>
    </r>
  </si>
  <si>
    <r>
      <t xml:space="preserve">Дріт поцинкований Ø8 - </t>
    </r>
    <r>
      <rPr>
        <b/>
        <sz val="10"/>
        <rFont val="Verdana"/>
        <family val="2"/>
        <charset val="204"/>
      </rPr>
      <t>150мп</t>
    </r>
    <r>
      <rPr>
        <sz val="10"/>
        <rFont val="Verdana"/>
        <family val="2"/>
        <charset val="204"/>
      </rPr>
      <t xml:space="preserve">
контрольно-з'єднювальний корпус -8шт
з'єднувачі, кріплення, фасонина, пластикові підставки, опуски по фасаду - трубка, фасадні дистанційні кріплення -комплект</t>
    </r>
  </si>
  <si>
    <r>
      <t>Огорожа 2м -</t>
    </r>
    <r>
      <rPr>
        <b/>
        <sz val="10"/>
        <rFont val="Verdana"/>
        <family val="2"/>
        <charset val="204"/>
      </rPr>
      <t xml:space="preserve"> 45 м.п.</t>
    </r>
    <r>
      <rPr>
        <sz val="10"/>
        <rFont val="Verdana"/>
        <family val="2"/>
        <charset val="204"/>
      </rPr>
      <t xml:space="preserve">  
Стовпці профільна труба 60*40*3,5, h=2,5м, крок 2м. Прогони 40*20*3 - по 3шт на кожний проліт.</t>
    </r>
  </si>
  <si>
    <r>
      <t xml:space="preserve">кількість м. стрічки 40Х4 </t>
    </r>
    <r>
      <rPr>
        <b/>
        <sz val="10"/>
        <rFont val="Verdana"/>
        <family val="2"/>
        <charset val="204"/>
      </rPr>
      <t>- 200м.п.</t>
    </r>
    <r>
      <rPr>
        <sz val="10"/>
        <rFont val="Verdana"/>
        <family val="2"/>
        <charset val="204"/>
      </rPr>
      <t xml:space="preserve">
</t>
    </r>
  </si>
  <si>
    <t>Виїмка грунту механізована до дна корита фундаментів (до відм. - 1.500 (233,7)</t>
  </si>
  <si>
    <t>Проведення комплексу випробувань прокладених електричних мереж, обладнання та мереж заземлення. Отримання технічного звіту по цих роботах. Випробування основного контору з контурами блискавкозахисту та окремо контуру АГЗП</t>
  </si>
  <si>
    <t>Вимірювання та випробування проводить акредитована лабораторія (ліцензія обов'язкова) Окремо газ та окремо операторна з технологією</t>
  </si>
  <si>
    <t>4.</t>
  </si>
  <si>
    <t>4.1</t>
  </si>
  <si>
    <t>4.2</t>
  </si>
  <si>
    <t>4.3</t>
  </si>
  <si>
    <t>4.4</t>
  </si>
  <si>
    <t>4.5</t>
  </si>
  <si>
    <t>4.6</t>
  </si>
  <si>
    <t>4.7</t>
  </si>
  <si>
    <r>
      <t>Влаштування щебеневої подушки h=300мм
(90м х 1,9м х 0,3м ) -</t>
    </r>
    <r>
      <rPr>
        <b/>
        <sz val="10"/>
        <rFont val="Verdana"/>
        <family val="2"/>
        <charset val="204"/>
      </rPr>
      <t xml:space="preserve"> 51,3 м3</t>
    </r>
  </si>
  <si>
    <t>5.</t>
  </si>
  <si>
    <t>5.2</t>
  </si>
  <si>
    <t>6.1</t>
  </si>
  <si>
    <t>6.1.1</t>
  </si>
  <si>
    <r>
      <t xml:space="preserve">Прокладання кабельної лінії КЛ- 0,4кВ; КЛ-0,22кВ (земляні роботи, прокладання кабелів, монтаж кінцевих муфт, приєднання до обладнання, перевірка)
</t>
    </r>
    <r>
      <rPr>
        <u/>
        <sz val="10"/>
        <rFont val="Verdana"/>
        <family val="2"/>
        <charset val="204"/>
      </rPr>
      <t xml:space="preserve">Підключенню кабелів до електрощитової!
</t>
    </r>
    <r>
      <rPr>
        <b/>
        <u/>
        <sz val="10"/>
        <rFont val="Verdana"/>
        <family val="2"/>
        <charset val="204"/>
      </rPr>
      <t>Монтаж кінцевих муфт, наконечників, термоосадочних трубок (КТП, ДГ, ГРЩ)</t>
    </r>
  </si>
  <si>
    <t>6.1.2</t>
  </si>
  <si>
    <t>6.1.3</t>
  </si>
  <si>
    <t>6.1.4</t>
  </si>
  <si>
    <t>6.1.5</t>
  </si>
  <si>
    <t>6.1.6</t>
  </si>
  <si>
    <t>6.1.7</t>
  </si>
  <si>
    <t>6.1.8</t>
  </si>
  <si>
    <t>6.1.9</t>
  </si>
  <si>
    <t>6.1.10</t>
  </si>
  <si>
    <t>6.1.11</t>
  </si>
  <si>
    <t>6.1.12</t>
  </si>
  <si>
    <t>6.1.13</t>
  </si>
  <si>
    <t>6.1.14</t>
  </si>
  <si>
    <r>
      <t xml:space="preserve">Бетон С8/10 - </t>
    </r>
    <r>
      <rPr>
        <b/>
        <sz val="10"/>
        <rFont val="Verdana"/>
        <family val="2"/>
        <charset val="204"/>
      </rPr>
      <t>12,4 м3</t>
    </r>
  </si>
  <si>
    <t>7.1</t>
  </si>
  <si>
    <t>7.1.1</t>
  </si>
  <si>
    <t>7.1.2</t>
  </si>
  <si>
    <t>7.1.3</t>
  </si>
  <si>
    <t>7.1.4</t>
  </si>
  <si>
    <t>7.1.5</t>
  </si>
  <si>
    <t>7.1.6</t>
  </si>
  <si>
    <t>7.1.7</t>
  </si>
  <si>
    <t>7.1.8</t>
  </si>
  <si>
    <t>7.1.9</t>
  </si>
  <si>
    <t>7.1.10</t>
  </si>
  <si>
    <t>7.1.11</t>
  </si>
  <si>
    <t>Виготовлення паспорту блискавкозахисту 
(заміри та погодження на шість щогл)</t>
  </si>
  <si>
    <t>8.2</t>
  </si>
  <si>
    <t>Виїмка грунту механізована до дна корита чорнової плити підлоги (до відм. 234,7)</t>
  </si>
  <si>
    <t>8.2.1</t>
  </si>
  <si>
    <t>8.2.2</t>
  </si>
  <si>
    <t>8.2.3</t>
  </si>
  <si>
    <t>8.2.4</t>
  </si>
  <si>
    <t>8.3</t>
  </si>
  <si>
    <t>8.3.1</t>
  </si>
  <si>
    <t>8.3.2</t>
  </si>
  <si>
    <t>8.3.3</t>
  </si>
  <si>
    <t>8.3.4</t>
  </si>
  <si>
    <t>8.3.5</t>
  </si>
  <si>
    <r>
      <t xml:space="preserve">Виїмка грунту - </t>
    </r>
    <r>
      <rPr>
        <b/>
        <sz val="10"/>
        <rFont val="Verdana"/>
        <family val="2"/>
        <charset val="204"/>
      </rPr>
      <t xml:space="preserve">203,7м3 </t>
    </r>
    <r>
      <rPr>
        <sz val="10"/>
        <rFont val="Verdana"/>
        <family val="2"/>
        <charset val="204"/>
      </rPr>
      <t xml:space="preserve">
( 291м2 х 0,7м ) = 203,7м3
Переміщення по майданчику.
</t>
    </r>
    <r>
      <rPr>
        <sz val="10"/>
        <color rgb="FFFF0000"/>
        <rFont val="Verdana"/>
        <family val="2"/>
        <charset val="204"/>
      </rPr>
      <t>(надлишок грунту - 203,7м3)</t>
    </r>
  </si>
  <si>
    <t>8.4</t>
  </si>
  <si>
    <t>Холодне фрезерування існуючого асфальтобетонного покриття  з перевезенням матеріалу по буд.майданчику (примикання до існуючого дорожнього покриття в зоні перехідно - швидкісних смуг)</t>
  </si>
  <si>
    <r>
      <t xml:space="preserve">ДОРОЖНЯ ЧАСТИНА </t>
    </r>
    <r>
      <rPr>
        <b/>
        <sz val="11"/>
        <color rgb="FF0000FF"/>
        <rFont val="Verdana"/>
        <family val="2"/>
        <charset val="204"/>
      </rPr>
      <t xml:space="preserve">АЗК </t>
    </r>
    <r>
      <rPr>
        <b/>
        <u/>
        <sz val="11"/>
        <color rgb="FF0000FF"/>
        <rFont val="Verdana"/>
        <family val="2"/>
        <charset val="204"/>
      </rPr>
      <t xml:space="preserve">
</t>
    </r>
    <r>
      <rPr>
        <b/>
        <sz val="11"/>
        <color indexed="12"/>
        <rFont val="Verdana"/>
        <family val="2"/>
        <charset val="204"/>
      </rPr>
      <t xml:space="preserve">влаштування асфальтобетонного покриття (тип-1) t=69см </t>
    </r>
  </si>
  <si>
    <r>
      <rPr>
        <b/>
        <u/>
        <sz val="10"/>
        <rFont val="Verdana"/>
        <family val="2"/>
        <charset val="204"/>
      </rPr>
      <t>Загальна довжина кабельних ліній - 325 м.п.</t>
    </r>
    <r>
      <rPr>
        <sz val="10"/>
        <rFont val="Verdana"/>
        <family val="2"/>
        <charset val="204"/>
      </rPr>
      <t xml:space="preserve">
АВБбШв 5х120 - </t>
    </r>
    <r>
      <rPr>
        <b/>
        <sz val="10"/>
        <rFont val="Verdana"/>
        <family val="2"/>
        <charset val="204"/>
      </rPr>
      <t>50 м.п.</t>
    </r>
    <r>
      <rPr>
        <sz val="10"/>
        <rFont val="Verdana"/>
        <family val="2"/>
        <charset val="204"/>
      </rPr>
      <t xml:space="preserve"> (від КТП до ГРШ)
АВБбШв 5х120 - </t>
    </r>
    <r>
      <rPr>
        <b/>
        <sz val="10"/>
        <rFont val="Verdana"/>
        <family val="2"/>
        <charset val="204"/>
      </rPr>
      <t>50 м.п.</t>
    </r>
    <r>
      <rPr>
        <sz val="10"/>
        <rFont val="Verdana"/>
        <family val="2"/>
        <charset val="204"/>
      </rPr>
      <t xml:space="preserve"> (від ДГ до ГРШ)
ВВГз 3х4 - </t>
    </r>
    <r>
      <rPr>
        <b/>
        <sz val="10"/>
        <rFont val="Verdana"/>
        <family val="2"/>
        <charset val="204"/>
      </rPr>
      <t>50 м.п.</t>
    </r>
    <r>
      <rPr>
        <sz val="10"/>
        <rFont val="Verdana"/>
        <family val="2"/>
        <charset val="204"/>
      </rPr>
      <t xml:space="preserve"> (від ГРШ до ДГ)
ВВГз 3х4 - </t>
    </r>
    <r>
      <rPr>
        <b/>
        <sz val="10"/>
        <rFont val="Verdana"/>
        <family val="2"/>
        <charset val="204"/>
      </rPr>
      <t>40 м.п.</t>
    </r>
    <r>
      <rPr>
        <sz val="10"/>
        <rFont val="Verdana"/>
        <family val="2"/>
        <charset val="204"/>
      </rPr>
      <t xml:space="preserve"> (від ГРШ до насос КНС)
ВВГз 3х4 - </t>
    </r>
    <r>
      <rPr>
        <b/>
        <sz val="10"/>
        <rFont val="Verdana"/>
        <family val="2"/>
        <charset val="204"/>
      </rPr>
      <t xml:space="preserve">35 м.п. </t>
    </r>
    <r>
      <rPr>
        <sz val="10"/>
        <rFont val="Verdana"/>
        <family val="2"/>
        <charset val="204"/>
      </rPr>
      <t xml:space="preserve">(від ГРШ до сервісної колонки)
ВВГз 5х6 - </t>
    </r>
    <r>
      <rPr>
        <b/>
        <sz val="10"/>
        <rFont val="Verdana"/>
        <family val="2"/>
        <charset val="204"/>
      </rPr>
      <t>50 м.п.</t>
    </r>
    <r>
      <rPr>
        <sz val="10"/>
        <rFont val="Verdana"/>
        <family val="2"/>
        <charset val="204"/>
      </rPr>
      <t xml:space="preserve"> (від ГРШ до інформ. стели)
Футляр Ø100 - </t>
    </r>
    <r>
      <rPr>
        <b/>
        <sz val="10"/>
        <rFont val="Verdana"/>
        <family val="2"/>
        <charset val="204"/>
      </rPr>
      <t xml:space="preserve">50 м.п.  
</t>
    </r>
    <r>
      <rPr>
        <sz val="10"/>
        <rFont val="Verdana"/>
        <family val="2"/>
        <charset val="204"/>
      </rPr>
      <t xml:space="preserve">Футляр Ø50 - </t>
    </r>
    <r>
      <rPr>
        <b/>
        <sz val="10"/>
        <rFont val="Verdana"/>
        <family val="2"/>
        <charset val="204"/>
      </rPr>
      <t>500 м.п.</t>
    </r>
    <r>
      <rPr>
        <sz val="10"/>
        <rFont val="Verdana"/>
        <family val="2"/>
        <charset val="204"/>
      </rPr>
      <t xml:space="preserve">
</t>
    </r>
    <r>
      <rPr>
        <b/>
        <sz val="10"/>
        <rFont val="Verdana"/>
        <family val="2"/>
        <charset val="204"/>
      </rPr>
      <t>Монтаж кінцевих муфт, наконечників, термоосадочних трубок ( КТП, ДГ, ГРЩ)</t>
    </r>
  </si>
  <si>
    <t>8.4.1</t>
  </si>
  <si>
    <r>
      <t>Бетон С8/10 -</t>
    </r>
    <r>
      <rPr>
        <b/>
        <sz val="10"/>
        <rFont val="Verdana"/>
        <family val="2"/>
        <charset val="204"/>
      </rPr>
      <t xml:space="preserve"> 32,7м3 </t>
    </r>
    <r>
      <rPr>
        <sz val="10"/>
        <rFont val="Verdana"/>
        <family val="2"/>
        <charset val="204"/>
      </rPr>
      <t>(327м2)</t>
    </r>
  </si>
  <si>
    <t>8.4.2</t>
  </si>
  <si>
    <t>8.4.3</t>
  </si>
  <si>
    <t>8.4.4</t>
  </si>
  <si>
    <t>8.4.5</t>
  </si>
  <si>
    <t>8.4.6</t>
  </si>
  <si>
    <t>8.4.7</t>
  </si>
  <si>
    <t>8.4.8</t>
  </si>
  <si>
    <t>8.5</t>
  </si>
  <si>
    <r>
      <t xml:space="preserve">Монолітна плита підлоги товщиною -150мм
металоємність підлоги - </t>
    </r>
    <r>
      <rPr>
        <b/>
        <sz val="10"/>
        <rFont val="Verdana"/>
        <family val="2"/>
        <charset val="204"/>
      </rPr>
      <t>2544,8 кг.</t>
    </r>
    <r>
      <rPr>
        <sz val="10"/>
        <rFont val="Verdana"/>
        <family val="2"/>
        <charset val="204"/>
      </rPr>
      <t xml:space="preserve"> </t>
    </r>
    <r>
      <rPr>
        <sz val="10"/>
        <color rgb="FFFF0000"/>
        <rFont val="Verdana"/>
        <family val="2"/>
        <charset val="204"/>
      </rPr>
      <t xml:space="preserve">   </t>
    </r>
    <r>
      <rPr>
        <sz val="10"/>
        <rFont val="Verdana"/>
        <family val="2"/>
        <charset val="204"/>
      </rPr>
      <t xml:space="preserve">         
Бетон С 16/20 -</t>
    </r>
    <r>
      <rPr>
        <b/>
        <sz val="10"/>
        <rFont val="Verdana"/>
        <family val="2"/>
        <charset val="204"/>
      </rPr>
      <t xml:space="preserve"> 49,05 м3. </t>
    </r>
    <r>
      <rPr>
        <sz val="10"/>
        <rFont val="Verdana"/>
        <family val="2"/>
        <charset val="204"/>
      </rPr>
      <t xml:space="preserve">
Плівка під бетон в два шари - </t>
    </r>
    <r>
      <rPr>
        <b/>
        <sz val="10"/>
        <rFont val="Verdana"/>
        <family val="2"/>
        <charset val="204"/>
      </rPr>
      <t>327м2</t>
    </r>
  </si>
  <si>
    <t>8.5.1</t>
  </si>
  <si>
    <t>8.5.2</t>
  </si>
  <si>
    <t>8.5.3</t>
  </si>
  <si>
    <t>8.5.4</t>
  </si>
  <si>
    <t>8.5.5</t>
  </si>
  <si>
    <t>8.5.6</t>
  </si>
  <si>
    <t>8.6</t>
  </si>
  <si>
    <t>8.6.1</t>
  </si>
  <si>
    <t>8.6.2</t>
  </si>
  <si>
    <t>8.6.3</t>
  </si>
  <si>
    <t>8.6.4</t>
  </si>
  <si>
    <t>Силове електропостачання АЗС ПРК (бензин та ДП) (земляні роботи, футляри, влаштування основи та покриття з піску трубної розводки ПХВ Ø50мм, випробування, підєднання до обладнання)</t>
  </si>
  <si>
    <r>
      <t>Всього маса з врах. напл. металу, відходів та уточнення маси -</t>
    </r>
    <r>
      <rPr>
        <b/>
        <sz val="10"/>
        <rFont val="Verdana"/>
        <family val="2"/>
        <charset val="204"/>
      </rPr>
      <t xml:space="preserve"> 2,06 т.</t>
    </r>
    <r>
      <rPr>
        <sz val="10"/>
        <rFont val="Verdana"/>
        <family val="2"/>
        <charset val="204"/>
      </rPr>
      <t xml:space="preserve">
Маса загальна -</t>
    </r>
    <r>
      <rPr>
        <b/>
        <sz val="10"/>
        <rFont val="Verdana"/>
        <family val="2"/>
        <charset val="204"/>
      </rPr>
      <t xml:space="preserve"> 2 т;
</t>
    </r>
    <r>
      <rPr>
        <sz val="10"/>
        <rFont val="Verdana"/>
        <family val="2"/>
        <charset val="204"/>
      </rPr>
      <t xml:space="preserve">Бн-1 - </t>
    </r>
    <r>
      <rPr>
        <b/>
        <sz val="10"/>
        <rFont val="Verdana"/>
        <family val="2"/>
        <charset val="204"/>
      </rPr>
      <t xml:space="preserve">590 кг.;  </t>
    </r>
    <r>
      <rPr>
        <sz val="10"/>
        <rFont val="Verdana"/>
        <family val="2"/>
        <charset val="204"/>
      </rPr>
      <t xml:space="preserve">Прн-1 - </t>
    </r>
    <r>
      <rPr>
        <b/>
        <sz val="10"/>
        <rFont val="Verdana"/>
        <family val="2"/>
        <charset val="204"/>
      </rPr>
      <t xml:space="preserve">555,1 кг.; </t>
    </r>
    <r>
      <rPr>
        <sz val="10"/>
        <rFont val="Verdana"/>
        <family val="2"/>
        <charset val="204"/>
      </rPr>
      <t xml:space="preserve">Ктн - </t>
    </r>
    <r>
      <rPr>
        <b/>
        <sz val="10"/>
        <rFont val="Verdana"/>
        <family val="2"/>
        <charset val="204"/>
      </rPr>
      <t>73,1 кг.</t>
    </r>
    <r>
      <rPr>
        <sz val="10"/>
        <rFont val="Verdana"/>
        <family val="2"/>
        <charset val="204"/>
      </rPr>
      <t xml:space="preserve">
Гзн-1 - </t>
    </r>
    <r>
      <rPr>
        <b/>
        <sz val="10"/>
        <rFont val="Verdana"/>
        <family val="2"/>
        <charset val="204"/>
      </rPr>
      <t xml:space="preserve">120 кг.;  </t>
    </r>
    <r>
      <rPr>
        <sz val="10"/>
        <rFont val="Verdana"/>
        <family val="2"/>
        <charset val="204"/>
      </rPr>
      <t xml:space="preserve">Стн-1 - </t>
    </r>
    <r>
      <rPr>
        <b/>
        <sz val="10"/>
        <rFont val="Verdana"/>
        <family val="2"/>
        <charset val="204"/>
      </rPr>
      <t xml:space="preserve">57 кг.; </t>
    </r>
    <r>
      <rPr>
        <sz val="10"/>
        <rFont val="Verdana"/>
        <family val="2"/>
        <charset val="204"/>
      </rPr>
      <t xml:space="preserve">Фн-1 - </t>
    </r>
    <r>
      <rPr>
        <b/>
        <sz val="10"/>
        <rFont val="Verdana"/>
        <family val="2"/>
        <charset val="204"/>
      </rPr>
      <t>274 кг.</t>
    </r>
    <r>
      <rPr>
        <sz val="10"/>
        <rFont val="Verdana"/>
        <family val="2"/>
        <charset val="204"/>
      </rPr>
      <t xml:space="preserve">
Кутник 75х5 - </t>
    </r>
    <r>
      <rPr>
        <b/>
        <sz val="10"/>
        <rFont val="Verdana"/>
        <family val="2"/>
        <charset val="204"/>
      </rPr>
      <t xml:space="preserve">35 кг.; </t>
    </r>
    <r>
      <rPr>
        <sz val="10"/>
        <rFont val="Verdana"/>
        <family val="2"/>
        <charset val="204"/>
      </rPr>
      <t xml:space="preserve">Деталі - </t>
    </r>
    <r>
      <rPr>
        <b/>
        <sz val="10"/>
        <rFont val="Verdana"/>
        <family val="2"/>
        <charset val="204"/>
      </rPr>
      <t>300 кг.</t>
    </r>
    <r>
      <rPr>
        <sz val="10"/>
        <rFont val="Verdana"/>
        <family val="2"/>
        <charset val="204"/>
      </rPr>
      <t xml:space="preserve">
Болт М12х45 - </t>
    </r>
    <r>
      <rPr>
        <b/>
        <sz val="10"/>
        <rFont val="Verdana"/>
        <family val="2"/>
        <charset val="204"/>
      </rPr>
      <t xml:space="preserve">32 шт.;  </t>
    </r>
    <r>
      <rPr>
        <sz val="10"/>
        <rFont val="Verdana"/>
        <family val="2"/>
        <charset val="204"/>
      </rPr>
      <t xml:space="preserve">Болт М16х60 - </t>
    </r>
    <r>
      <rPr>
        <b/>
        <sz val="10"/>
        <rFont val="Verdana"/>
        <family val="2"/>
        <charset val="204"/>
      </rPr>
      <t>40 шт.</t>
    </r>
    <r>
      <rPr>
        <sz val="10"/>
        <rFont val="Verdana"/>
        <family val="2"/>
        <charset val="204"/>
      </rPr>
      <t xml:space="preserve">
Болт М16х65 - </t>
    </r>
    <r>
      <rPr>
        <b/>
        <sz val="10"/>
        <rFont val="Verdana"/>
        <family val="2"/>
        <charset val="204"/>
      </rPr>
      <t xml:space="preserve">20 шт.;  </t>
    </r>
    <r>
      <rPr>
        <sz val="10"/>
        <rFont val="Verdana"/>
        <family val="2"/>
        <charset val="204"/>
      </rPr>
      <t xml:space="preserve">Гайка М12 - </t>
    </r>
    <r>
      <rPr>
        <b/>
        <sz val="10"/>
        <rFont val="Verdana"/>
        <family val="2"/>
        <charset val="204"/>
      </rPr>
      <t>64 шт.</t>
    </r>
    <r>
      <rPr>
        <sz val="10"/>
        <rFont val="Verdana"/>
        <family val="2"/>
        <charset val="204"/>
      </rPr>
      <t xml:space="preserve">
Гайка М16 - </t>
    </r>
    <r>
      <rPr>
        <b/>
        <sz val="10"/>
        <rFont val="Verdana"/>
        <family val="2"/>
        <charset val="204"/>
      </rPr>
      <t xml:space="preserve">120 шт.  </t>
    </r>
    <r>
      <rPr>
        <sz val="10"/>
        <rFont val="Verdana"/>
        <family val="2"/>
        <charset val="204"/>
      </rPr>
      <t xml:space="preserve">Шайба 12 - </t>
    </r>
    <r>
      <rPr>
        <b/>
        <sz val="10"/>
        <rFont val="Verdana"/>
        <family val="2"/>
        <charset val="204"/>
      </rPr>
      <t>64 шт.</t>
    </r>
    <r>
      <rPr>
        <sz val="10"/>
        <rFont val="Verdana"/>
        <family val="2"/>
        <charset val="204"/>
      </rPr>
      <t xml:space="preserve">
Шайба 16 - </t>
    </r>
    <r>
      <rPr>
        <b/>
        <sz val="10"/>
        <rFont val="Verdana"/>
        <family val="2"/>
        <charset val="204"/>
      </rPr>
      <t>120 шт.</t>
    </r>
  </si>
  <si>
    <t>8.7</t>
  </si>
  <si>
    <t>8.7.1</t>
  </si>
  <si>
    <t>8.7.2</t>
  </si>
  <si>
    <t>8.7.3</t>
  </si>
  <si>
    <t>8.7.4</t>
  </si>
  <si>
    <t>8.7.5</t>
  </si>
  <si>
    <t>8.7.6</t>
  </si>
  <si>
    <t>8.7.7</t>
  </si>
  <si>
    <t>8.7.8</t>
  </si>
  <si>
    <t>9.2</t>
  </si>
  <si>
    <t>9.3</t>
  </si>
  <si>
    <t>9.4</t>
  </si>
  <si>
    <t>9.5</t>
  </si>
  <si>
    <t>9.6</t>
  </si>
  <si>
    <t>9.7</t>
  </si>
  <si>
    <t>9.8</t>
  </si>
  <si>
    <t>9.9</t>
  </si>
  <si>
    <t>9.10</t>
  </si>
  <si>
    <t>9.11</t>
  </si>
  <si>
    <t>9.12</t>
  </si>
  <si>
    <t>9.13</t>
  </si>
  <si>
    <t>9.14</t>
  </si>
  <si>
    <t>9.15</t>
  </si>
  <si>
    <t>9.16</t>
  </si>
  <si>
    <r>
      <rPr>
        <b/>
        <u/>
        <sz val="10"/>
        <rFont val="Verdana"/>
        <family val="2"/>
        <charset val="204"/>
      </rPr>
      <t>Загальна довжина каб.  ліній - 490 м.п.</t>
    </r>
    <r>
      <rPr>
        <b/>
        <sz val="10"/>
        <rFont val="Verdana"/>
        <family val="2"/>
        <charset val="204"/>
      </rPr>
      <t xml:space="preserve">
</t>
    </r>
    <r>
      <rPr>
        <sz val="10"/>
        <rFont val="Verdana"/>
        <family val="2"/>
        <charset val="204"/>
      </rPr>
      <t xml:space="preserve">ВВГнгд 3х2,5 - </t>
    </r>
    <r>
      <rPr>
        <b/>
        <sz val="10"/>
        <rFont val="Verdana"/>
        <family val="2"/>
        <charset val="204"/>
      </rPr>
      <t>130 м.п</t>
    </r>
    <r>
      <rPr>
        <sz val="10"/>
        <rFont val="Verdana"/>
        <family val="2"/>
        <charset val="204"/>
      </rPr>
      <t xml:space="preserve">
ВВГнгд 4х2,5 - </t>
    </r>
    <r>
      <rPr>
        <b/>
        <sz val="10"/>
        <rFont val="Verdana"/>
        <family val="2"/>
        <charset val="204"/>
      </rPr>
      <t>220 м.п.</t>
    </r>
    <r>
      <rPr>
        <sz val="10"/>
        <rFont val="Verdana"/>
        <family val="2"/>
        <charset val="204"/>
      </rPr>
      <t xml:space="preserve">
ВВГнгд 3х1,5 - </t>
    </r>
    <r>
      <rPr>
        <b/>
        <sz val="10"/>
        <rFont val="Verdana"/>
        <family val="2"/>
        <charset val="204"/>
      </rPr>
      <t>140 м.п.</t>
    </r>
    <r>
      <rPr>
        <sz val="10"/>
        <rFont val="Verdana"/>
        <family val="2"/>
        <charset val="204"/>
      </rPr>
      <t xml:space="preserve">
Металорукав Ø25 мм - </t>
    </r>
    <r>
      <rPr>
        <b/>
        <sz val="10"/>
        <rFont val="Verdana"/>
        <family val="2"/>
        <charset val="204"/>
      </rPr>
      <t>75 м.п.</t>
    </r>
    <r>
      <rPr>
        <sz val="10"/>
        <rFont val="Verdana"/>
        <family val="2"/>
        <charset val="204"/>
      </rPr>
      <t xml:space="preserve">
ПВХ футл. Ø50мм - 200 м.п. ПРК (навіс +гучномовний зв'язок, включно для освітлення навісу та між приямками ПРК по одному футляру та між резервуарами та ПРК). Запінювання футлярів зі сторони приямків резервуарів та герметизація кабалкою та бітумною мастикою ззовні.
Пісок - </t>
    </r>
    <r>
      <rPr>
        <b/>
        <sz val="10"/>
        <rFont val="Verdana"/>
        <family val="2"/>
        <charset val="204"/>
      </rPr>
      <t>15м3.</t>
    </r>
  </si>
  <si>
    <r>
      <rPr>
        <b/>
        <u/>
        <sz val="10"/>
        <rFont val="Verdana"/>
        <family val="2"/>
        <charset val="204"/>
      </rPr>
      <t>Загальна довжина кабельних ліній - 290 м.п.</t>
    </r>
    <r>
      <rPr>
        <sz val="10"/>
        <rFont val="Verdana"/>
        <family val="2"/>
        <charset val="204"/>
      </rPr>
      <t xml:space="preserve">
</t>
    </r>
    <r>
      <rPr>
        <b/>
        <sz val="10"/>
        <rFont val="Verdana"/>
        <family val="2"/>
        <charset val="204"/>
      </rPr>
      <t>ВВГз 3х4</t>
    </r>
    <r>
      <rPr>
        <sz val="10"/>
        <rFont val="Verdana"/>
        <family val="2"/>
        <charset val="204"/>
      </rPr>
      <t xml:space="preserve"> - </t>
    </r>
    <r>
      <rPr>
        <b/>
        <sz val="10"/>
        <rFont val="Verdana"/>
        <family val="2"/>
        <charset val="204"/>
      </rPr>
      <t>130 м.п.
ВВГ 5*2,5-50м.п. (стела)</t>
    </r>
    <r>
      <rPr>
        <sz val="10"/>
        <rFont val="Verdana"/>
        <family val="2"/>
        <charset val="204"/>
      </rPr>
      <t xml:space="preserve">
</t>
    </r>
    <r>
      <rPr>
        <b/>
        <sz val="10"/>
        <rFont val="Verdana"/>
        <family val="2"/>
        <charset val="204"/>
      </rPr>
      <t>ПРС 3*2,5 - 50мп (в опорах)</t>
    </r>
    <r>
      <rPr>
        <sz val="10"/>
        <rFont val="Verdana"/>
        <family val="2"/>
        <charset val="204"/>
      </rPr>
      <t xml:space="preserve">
ВВГнг 3х1,5 - </t>
    </r>
    <r>
      <rPr>
        <b/>
        <sz val="10"/>
        <rFont val="Verdana"/>
        <family val="2"/>
        <charset val="204"/>
      </rPr>
      <t>160 м.п.</t>
    </r>
    <r>
      <rPr>
        <sz val="10"/>
        <rFont val="Verdana"/>
        <family val="2"/>
        <charset val="204"/>
      </rPr>
      <t xml:space="preserve">
ПВХ футл.Ø50мм-180мп</t>
    </r>
  </si>
  <si>
    <t>Металоконструкції перехідного навісу над ПРК
Роботи з пофарбування:
-підготовка поверхні знежирення, грунтовання грунт епоксидна EPOXYKOR PRIMER 70 (GREY) (виробник Malсhem  Польща) товщина 80 мкр
- фарбування емаль поліуретанованою фарбою  ПУ PURMAL  S-50 RAL - підбір  (виробник Malсhem  Польща) товщина 80 мкр</t>
  </si>
  <si>
    <r>
      <rPr>
        <b/>
        <u/>
        <sz val="10"/>
        <rFont val="Verdana"/>
        <family val="2"/>
        <charset val="204"/>
      </rPr>
      <t>Площа покрівлі - 322 м2</t>
    </r>
    <r>
      <rPr>
        <b/>
        <sz val="10"/>
        <rFont val="Verdana"/>
        <family val="2"/>
        <charset val="204"/>
      </rPr>
      <t xml:space="preserve">
</t>
    </r>
    <r>
      <rPr>
        <u/>
        <sz val="10"/>
        <rFont val="Verdana"/>
        <family val="2"/>
        <charset val="204"/>
      </rPr>
      <t>Покрівля операторної</t>
    </r>
    <r>
      <rPr>
        <b/>
        <sz val="10"/>
        <rFont val="Verdana"/>
        <family val="2"/>
        <charset val="204"/>
      </rPr>
      <t xml:space="preserve"> - </t>
    </r>
    <r>
      <rPr>
        <sz val="10"/>
        <rFont val="Verdana"/>
        <family val="2"/>
        <charset val="204"/>
      </rPr>
      <t xml:space="preserve">322м2
</t>
    </r>
    <r>
      <rPr>
        <u/>
        <sz val="10"/>
        <rFont val="Verdana"/>
        <family val="2"/>
        <charset val="204"/>
      </rPr>
      <t>(панель з мембраним покриттям)</t>
    </r>
    <r>
      <rPr>
        <b/>
        <sz val="10"/>
        <rFont val="Verdana"/>
        <family val="2"/>
        <charset val="204"/>
      </rPr>
      <t xml:space="preserve">
</t>
    </r>
    <r>
      <rPr>
        <sz val="10"/>
        <rFont val="Verdana"/>
        <family val="2"/>
        <charset val="204"/>
      </rPr>
      <t>(включено всі кріпильні елементи та прокладки з герметизацією швів з середини приміщення поліуритановим герметиком між парапетом та панеллю, пропаювання ПВХ нахлестів). Відхід панелей врахований в матеріальній складовій.</t>
    </r>
  </si>
  <si>
    <r>
      <t xml:space="preserve">Площа покриття парапетів - </t>
    </r>
    <r>
      <rPr>
        <b/>
        <sz val="10"/>
        <rFont val="Verdana"/>
        <family val="2"/>
        <charset val="204"/>
      </rPr>
      <t>150 м2</t>
    </r>
    <r>
      <rPr>
        <sz val="10"/>
        <rFont val="Verdana"/>
        <family val="2"/>
        <charset val="204"/>
      </rPr>
      <t xml:space="preserve">;
Геотекстиль голкопробивний 
щільністю 250 г/м2 - </t>
    </r>
    <r>
      <rPr>
        <b/>
        <sz val="10"/>
        <rFont val="Verdana"/>
        <family val="2"/>
        <charset val="204"/>
      </rPr>
      <t>120 м2</t>
    </r>
    <r>
      <rPr>
        <sz val="10"/>
        <rFont val="Verdana"/>
        <family val="2"/>
        <charset val="204"/>
      </rPr>
      <t>;
Магнезитова плита (або ЦСП) -</t>
    </r>
    <r>
      <rPr>
        <b/>
        <sz val="10"/>
        <rFont val="Verdana"/>
        <family val="2"/>
        <charset val="204"/>
      </rPr>
      <t xml:space="preserve"> 100 м2.</t>
    </r>
    <r>
      <rPr>
        <sz val="10"/>
        <rFont val="Verdana"/>
        <family val="2"/>
        <charset val="204"/>
      </rPr>
      <t xml:space="preserve">
</t>
    </r>
    <r>
      <rPr>
        <b/>
        <sz val="10"/>
        <rFont val="Verdana"/>
        <family val="2"/>
        <charset val="204"/>
      </rPr>
      <t>(Враховує утеплення мінеральною ватою металевих стійок парапетів).</t>
    </r>
    <r>
      <rPr>
        <sz val="10"/>
        <rFont val="Verdana"/>
        <family val="2"/>
        <charset val="204"/>
      </rPr>
      <t xml:space="preserve">
(заведення на парапети та влаштування примикань до вертикальних металевих конструкцій з примикаючими елементами та герметизацією).
</t>
    </r>
    <r>
      <rPr>
        <b/>
        <sz val="10"/>
        <rFont val="Verdana"/>
        <family val="2"/>
        <charset val="204"/>
      </rPr>
      <t>В розцінку влючено вартість кріпильних елементів, герметику, ПВХ-металу та всіх розхідників.</t>
    </r>
  </si>
  <si>
    <t xml:space="preserve">Влаштування внутрішньої дощової каналізації К2 оператоної та літнього навісу. В будівлі операторної 2 опуски труби ПВХ д=110мм з підключенням до зовнішньої ливневої каналізації К2. </t>
  </si>
  <si>
    <r>
      <t xml:space="preserve">Влаштування жолобу із чорнового металу  t=2мм
Всього маса з врах. напл. металу, відходів та уточнення маси - </t>
    </r>
    <r>
      <rPr>
        <b/>
        <sz val="10"/>
        <rFont val="Verdana"/>
        <family val="2"/>
        <charset val="204"/>
      </rPr>
      <t xml:space="preserve">0,2 т.  </t>
    </r>
    <r>
      <rPr>
        <sz val="10"/>
        <rFont val="Verdana"/>
        <family val="2"/>
        <charset val="204"/>
      </rPr>
      <t>Усього -</t>
    </r>
    <r>
      <rPr>
        <b/>
        <sz val="10"/>
        <rFont val="Verdana"/>
        <family val="2"/>
        <charset val="204"/>
      </rPr>
      <t xml:space="preserve"> 16 м2
</t>
    </r>
    <r>
      <rPr>
        <sz val="10"/>
        <rFont val="Verdana"/>
        <family val="2"/>
        <charset val="204"/>
      </rPr>
      <t xml:space="preserve">(1м*16м) - 16м2
</t>
    </r>
  </si>
  <si>
    <r>
      <t xml:space="preserve">ОСВІТЛЕННЯ АЗС (земляні роботи, фундаменти, </t>
    </r>
    <r>
      <rPr>
        <b/>
        <u/>
        <sz val="10"/>
        <rFont val="Verdana"/>
        <family val="2"/>
        <charset val="204"/>
      </rPr>
      <t>опори поцинковані Н=9,2м</t>
    </r>
    <r>
      <rPr>
        <sz val="10"/>
        <rFont val="Verdana"/>
        <family val="2"/>
        <charset val="204"/>
      </rPr>
      <t>, монтаж світильників (без вартості).</t>
    </r>
  </si>
  <si>
    <r>
      <rPr>
        <b/>
        <sz val="10"/>
        <rFont val="Verdana"/>
        <family val="2"/>
        <charset val="204"/>
      </rPr>
      <t>Опори зовнішнього освітлення поцинковані - 5шт</t>
    </r>
    <r>
      <rPr>
        <sz val="10"/>
        <rFont val="Verdana"/>
        <family val="2"/>
        <charset val="204"/>
      </rPr>
      <t xml:space="preserve"> 
(опори, фундаменти -бетон С12/15 - 043м3, армування 19кг), основа з відсіву під кожний фундамент -0,2 м3)
</t>
    </r>
    <r>
      <rPr>
        <b/>
        <sz val="10"/>
        <rFont val="Verdana"/>
        <family val="2"/>
        <charset val="204"/>
      </rPr>
      <t xml:space="preserve">Монтаж світильників - 5шт. </t>
    </r>
  </si>
  <si>
    <t>Відеонагляд. Влаштування окремої ТП50, земляні роботи, піщана подушка з присипкою піском, оберенена засипка. Влаштування приямка відеонагляду. Влаштування опор з фундаментами Н=3м - 2шт. Вартість обладнання відділу СБ</t>
  </si>
  <si>
    <r>
      <t xml:space="preserve">ОСВІТЛЕННЯ АЗС (земляні роботи, фундаменти, </t>
    </r>
    <r>
      <rPr>
        <b/>
        <u/>
        <sz val="10"/>
        <rFont val="Verdana"/>
        <family val="2"/>
        <charset val="204"/>
      </rPr>
      <t>опори квадратні стальні</t>
    </r>
    <r>
      <rPr>
        <sz val="10"/>
        <rFont val="Verdana"/>
        <family val="2"/>
        <charset val="204"/>
      </rPr>
      <t xml:space="preserve"> з порошковим пофарбуванням </t>
    </r>
    <r>
      <rPr>
        <b/>
        <u/>
        <sz val="10"/>
        <rFont val="Verdana"/>
        <family val="2"/>
        <charset val="204"/>
      </rPr>
      <t>Н=3,3 м</t>
    </r>
    <r>
      <rPr>
        <b/>
        <sz val="10"/>
        <rFont val="Verdana"/>
        <family val="2"/>
        <charset val="204"/>
      </rPr>
      <t xml:space="preserve"> </t>
    </r>
    <r>
      <rPr>
        <sz val="10"/>
        <rFont val="Verdana"/>
        <family val="2"/>
        <charset val="204"/>
      </rPr>
      <t>в комплекті з світлодіодними елементами)</t>
    </r>
  </si>
  <si>
    <r>
      <rPr>
        <b/>
        <sz val="10"/>
        <rFont val="Verdana"/>
        <family val="2"/>
        <charset val="204"/>
      </rPr>
      <t>Каналізація К-1: (по території )
Монтаж насосної станції:</t>
    </r>
    <r>
      <rPr>
        <sz val="10"/>
        <rFont val="Verdana"/>
        <family val="2"/>
        <charset val="204"/>
      </rPr>
      <t xml:space="preserve">
</t>
    </r>
    <r>
      <rPr>
        <b/>
        <sz val="10"/>
        <rFont val="Verdana"/>
        <family val="2"/>
        <charset val="204"/>
      </rPr>
      <t xml:space="preserve">(окреме погодження замовника)
Згідно проекту: ЗВК
</t>
    </r>
    <r>
      <rPr>
        <b/>
        <sz val="10"/>
        <color rgb="FFFF0000"/>
        <rFont val="Verdana"/>
        <family val="2"/>
        <charset val="204"/>
      </rPr>
      <t>Вартість обладнання врахована в поз. 9.5</t>
    </r>
    <r>
      <rPr>
        <sz val="10"/>
        <color rgb="FFFF0000"/>
        <rFont val="Verdana"/>
        <family val="2"/>
        <charset val="204"/>
      </rPr>
      <t xml:space="preserve">
</t>
    </r>
  </si>
  <si>
    <r>
      <t xml:space="preserve">ВВГнгд 3х2,5 - </t>
    </r>
    <r>
      <rPr>
        <b/>
        <sz val="10"/>
        <rFont val="Verdana"/>
        <family val="2"/>
        <charset val="204"/>
      </rPr>
      <t xml:space="preserve">150 м.п.
</t>
    </r>
    <r>
      <rPr>
        <sz val="10"/>
        <rFont val="Verdana"/>
        <family val="2"/>
        <charset val="204"/>
      </rPr>
      <t xml:space="preserve">(кабелі живлення світильників навісу (П1, П2, П3), фризу, опуски по колонах до спайдерів, живлення рекламоносіїв). 4 групи освітленя.
Коробки - </t>
    </r>
    <r>
      <rPr>
        <b/>
        <sz val="10"/>
        <rFont val="Verdana"/>
        <family val="2"/>
        <charset val="204"/>
      </rPr>
      <t>12шт.</t>
    </r>
    <r>
      <rPr>
        <sz val="10"/>
        <rFont val="Verdana"/>
        <family val="2"/>
        <charset val="204"/>
      </rPr>
      <t xml:space="preserve">
Металорукав  Д=20мм - </t>
    </r>
    <r>
      <rPr>
        <b/>
        <sz val="10"/>
        <rFont val="Verdana"/>
        <family val="2"/>
        <charset val="204"/>
      </rPr>
      <t>140 м.п.</t>
    </r>
  </si>
  <si>
    <t>Контрольні кабелі до ПРК, РП, інформаційної стели, рекламоносіїв, стійки замовлення DRIVE (протягування в футляри ПВХ, що існують)</t>
  </si>
  <si>
    <r>
      <rPr>
        <b/>
        <u/>
        <sz val="10"/>
        <rFont val="Verdana"/>
        <family val="2"/>
        <charset val="204"/>
      </rPr>
      <t>Загальна довжина кабельних ліній - 230 м.п.</t>
    </r>
    <r>
      <rPr>
        <sz val="10"/>
        <rFont val="Verdana"/>
        <family val="2"/>
        <charset val="204"/>
      </rPr>
      <t xml:space="preserve">
Кабелі від комутаційної шафи до ПРК та резервуарного парку:
SFTP 4х2х0,5 - </t>
    </r>
    <r>
      <rPr>
        <b/>
        <sz val="10"/>
        <rFont val="Verdana"/>
        <family val="2"/>
        <charset val="204"/>
      </rPr>
      <t xml:space="preserve">120 м.п. </t>
    </r>
    <r>
      <rPr>
        <sz val="10"/>
        <rFont val="Verdana"/>
        <family val="2"/>
        <charset val="204"/>
      </rPr>
      <t xml:space="preserve">(ПРК та РП).
Оптоволокно (2 кабелі) - </t>
    </r>
    <r>
      <rPr>
        <b/>
        <sz val="10"/>
        <rFont val="Verdana"/>
        <family val="2"/>
        <charset val="204"/>
      </rPr>
      <t>40 м.п.</t>
    </r>
    <r>
      <rPr>
        <sz val="10"/>
        <rFont val="Verdana"/>
        <family val="2"/>
        <charset val="204"/>
      </rPr>
      <t xml:space="preserve"> 
(інформ. стела).
SFTP 4х2х0,5 - </t>
    </r>
    <r>
      <rPr>
        <b/>
        <sz val="10"/>
        <rFont val="Verdana"/>
        <family val="2"/>
        <charset val="204"/>
      </rPr>
      <t>70 м.п.</t>
    </r>
    <r>
      <rPr>
        <sz val="10"/>
        <rFont val="Verdana"/>
        <family val="2"/>
        <charset val="204"/>
      </rPr>
      <t xml:space="preserve"> (рекламоносії).</t>
    </r>
  </si>
  <si>
    <r>
      <t xml:space="preserve">Над нішами, в місці монтажу телевізорів (над зоною видачі) влаштувати замість верхнього г/к вологостійку фанеру 12мм - </t>
    </r>
    <r>
      <rPr>
        <b/>
        <sz val="10"/>
        <rFont val="Verdana"/>
        <family val="2"/>
        <charset val="204"/>
      </rPr>
      <t>15м2</t>
    </r>
    <r>
      <rPr>
        <sz val="10"/>
        <rFont val="Verdana"/>
        <family val="2"/>
        <charset val="204"/>
      </rPr>
      <t xml:space="preserve"> (на всю висоту короба).</t>
    </r>
  </si>
  <si>
    <r>
      <t xml:space="preserve">Електроосвітлення навісу (бензин та ДП) (протягування в футляри, коробки, влаштування по конструкціям в гофротрубі, випробування, під'єднання) </t>
    </r>
    <r>
      <rPr>
        <b/>
        <sz val="10"/>
        <rFont val="Verdana"/>
        <family val="2"/>
        <charset val="204"/>
      </rPr>
      <t>без вартості світильників (включені в п.9.2)</t>
    </r>
    <r>
      <rPr>
        <b/>
        <sz val="10"/>
        <color indexed="10"/>
        <rFont val="Verdana"/>
        <family val="2"/>
        <charset val="204"/>
      </rPr>
      <t xml:space="preserve"> </t>
    </r>
    <r>
      <rPr>
        <b/>
        <sz val="10"/>
        <rFont val="Verdana"/>
        <family val="2"/>
        <charset val="204"/>
      </rPr>
      <t>і монтажу.</t>
    </r>
  </si>
  <si>
    <t>Підсвітка стелли (монтаж без вартості світильників, кабель врахований в п. 9.2)</t>
  </si>
  <si>
    <r>
      <t xml:space="preserve">Каналізація  дренажна з підключенням до мережі - </t>
    </r>
    <r>
      <rPr>
        <b/>
        <sz val="10"/>
        <rFont val="Verdana"/>
        <family val="2"/>
        <charset val="204"/>
      </rPr>
      <t>71 м.п.</t>
    </r>
    <r>
      <rPr>
        <sz val="10"/>
        <rFont val="Verdana"/>
        <family val="2"/>
        <charset val="204"/>
      </rPr>
      <t xml:space="preserve">, в т.ч.:
Ø50 мм - </t>
    </r>
    <r>
      <rPr>
        <b/>
        <sz val="10"/>
        <rFont val="Verdana"/>
        <family val="2"/>
        <charset val="204"/>
      </rPr>
      <t xml:space="preserve">15 м.п.
</t>
    </r>
    <r>
      <rPr>
        <sz val="10"/>
        <rFont val="Verdana"/>
        <family val="2"/>
        <charset val="204"/>
      </rPr>
      <t xml:space="preserve">Ø110 мм - </t>
    </r>
    <r>
      <rPr>
        <b/>
        <sz val="10"/>
        <rFont val="Verdana"/>
        <family val="2"/>
        <charset val="204"/>
      </rPr>
      <t>10 м.п.
Ø32 мм - 14м.п
Ø25 мм - 15 м.п
Ø20 мм - 17 м.п.</t>
    </r>
    <r>
      <rPr>
        <sz val="10"/>
        <rFont val="Verdana"/>
        <family val="2"/>
        <charset val="204"/>
      </rPr>
      <t xml:space="preserve">
Заглушка Ø50 мм - </t>
    </r>
    <r>
      <rPr>
        <b/>
        <sz val="10"/>
        <rFont val="Verdana"/>
        <family val="2"/>
        <charset val="204"/>
      </rPr>
      <t>2 шт.</t>
    </r>
    <r>
      <rPr>
        <sz val="10"/>
        <rFont val="Verdana"/>
        <family val="2"/>
        <charset val="204"/>
      </rPr>
      <t xml:space="preserve">
Заглушка Ø110 мм - </t>
    </r>
    <r>
      <rPr>
        <b/>
        <sz val="10"/>
        <rFont val="Verdana"/>
        <family val="2"/>
        <charset val="204"/>
      </rPr>
      <t>2 шт.</t>
    </r>
    <r>
      <rPr>
        <sz val="10"/>
        <rFont val="Verdana"/>
        <family val="2"/>
        <charset val="204"/>
      </rPr>
      <t xml:space="preserve">
Ревізія Ø110 мм - </t>
    </r>
    <r>
      <rPr>
        <b/>
        <sz val="10"/>
        <rFont val="Verdana"/>
        <family val="2"/>
        <charset val="204"/>
      </rPr>
      <t>1 шт.</t>
    </r>
    <r>
      <rPr>
        <sz val="10"/>
        <rFont val="Verdana"/>
        <family val="2"/>
        <charset val="204"/>
      </rPr>
      <t xml:space="preserve">
Повітряний клапан Ø50 мм - </t>
    </r>
    <r>
      <rPr>
        <b/>
        <sz val="10"/>
        <rFont val="Verdana"/>
        <family val="2"/>
        <charset val="204"/>
      </rPr>
      <t xml:space="preserve">1 шт.
</t>
    </r>
    <r>
      <rPr>
        <sz val="10"/>
        <rFont val="Verdana"/>
        <family val="2"/>
        <charset val="204"/>
      </rPr>
      <t>Повітряний клапан Ø100 мм</t>
    </r>
    <r>
      <rPr>
        <b/>
        <sz val="10"/>
        <rFont val="Verdana"/>
        <family val="2"/>
        <charset val="204"/>
      </rPr>
      <t xml:space="preserve"> - 1 шт.</t>
    </r>
    <r>
      <rPr>
        <sz val="10"/>
        <rFont val="Verdana"/>
        <family val="2"/>
        <charset val="204"/>
      </rPr>
      <t xml:space="preserve">
Трап КТ-50 - </t>
    </r>
    <r>
      <rPr>
        <b/>
        <sz val="10"/>
        <rFont val="Verdana"/>
        <family val="2"/>
        <charset val="204"/>
      </rPr>
      <t>14 шт.</t>
    </r>
  </si>
  <si>
    <t xml:space="preserve">МАЙДАНЧИКОВІ РОЗПОДІЛЬЧІ ЕЛЕКТРОМЕРЕЖІ </t>
  </si>
  <si>
    <r>
      <t xml:space="preserve">Внутрішні оздоблювальні роботи (монтаж дзеркал в туалетах відвідувачів </t>
    </r>
    <r>
      <rPr>
        <b/>
        <sz val="10"/>
        <rFont val="Verdana"/>
        <family val="2"/>
        <charset val="204"/>
      </rPr>
      <t>операторної</t>
    </r>
    <r>
      <rPr>
        <sz val="10"/>
        <rFont val="Verdana"/>
        <family val="2"/>
        <charset val="204"/>
      </rPr>
      <t xml:space="preserve">). Дзеркало на металевовій рамці з підсвідкою. Вартість дзеркал включена в </t>
    </r>
    <r>
      <rPr>
        <b/>
        <sz val="10"/>
        <color rgb="FFFF0000"/>
        <rFont val="Verdana"/>
        <family val="2"/>
        <charset val="204"/>
      </rPr>
      <t>п. 9.1</t>
    </r>
  </si>
  <si>
    <t>Тільки монтаж
кількість сантехприладів - 37 шт.
ВАРТІСТЬ І НОМЕНКЛАТУРА ВКАЗАНА В ДОДАТКУ САНТЕХНІКА п.9.1</t>
  </si>
  <si>
    <r>
      <t xml:space="preserve">Внутрішні оздоблювальні роботи (оздоблення керамічною плиткою стін </t>
    </r>
    <r>
      <rPr>
        <b/>
        <sz val="10"/>
        <rFont val="Verdana"/>
        <family val="2"/>
        <charset val="204"/>
      </rPr>
      <t>операторної</t>
    </r>
    <r>
      <rPr>
        <sz val="10"/>
        <rFont val="Verdana"/>
        <family val="2"/>
        <charset val="204"/>
      </rPr>
      <t xml:space="preserve">), без  вартості плитки </t>
    </r>
    <r>
      <rPr>
        <b/>
        <sz val="10"/>
        <color rgb="FFFF0000"/>
        <rFont val="Verdana"/>
        <family val="2"/>
        <charset val="204"/>
      </rPr>
      <t>(п.9.1)</t>
    </r>
  </si>
  <si>
    <r>
      <t xml:space="preserve">Внутрішні оздоблювальні роботи (оздоблення керамічною плиткою підлог </t>
    </r>
    <r>
      <rPr>
        <b/>
        <sz val="10"/>
        <rFont val="Verdana"/>
        <family val="2"/>
        <charset val="204"/>
      </rPr>
      <t>операторної</t>
    </r>
    <r>
      <rPr>
        <sz val="10"/>
        <rFont val="Verdana"/>
        <family val="2"/>
        <charset val="204"/>
      </rPr>
      <t>, влаштування плінтусів з керам. плитки), без вартості плитки</t>
    </r>
    <r>
      <rPr>
        <b/>
        <sz val="10"/>
        <color rgb="FFFF0000"/>
        <rFont val="Verdana"/>
        <family val="2"/>
        <charset val="204"/>
      </rPr>
      <t xml:space="preserve"> (п.9.1)</t>
    </r>
  </si>
  <si>
    <r>
      <t xml:space="preserve">прокол </t>
    </r>
    <r>
      <rPr>
        <b/>
        <sz val="10"/>
        <rFont val="Verdana"/>
        <family val="2"/>
        <charset val="204"/>
      </rPr>
      <t>D110</t>
    </r>
    <r>
      <rPr>
        <sz val="10"/>
        <rFont val="Verdana"/>
        <family val="2"/>
        <charset val="204"/>
      </rPr>
      <t xml:space="preserve"> -30мп
затягуємо трубопровід  </t>
    </r>
    <r>
      <rPr>
        <b/>
        <sz val="10"/>
        <rFont val="Verdana"/>
        <family val="2"/>
        <charset val="204"/>
      </rPr>
      <t>D90</t>
    </r>
    <r>
      <rPr>
        <sz val="10"/>
        <rFont val="Verdana"/>
        <family val="2"/>
        <charset val="204"/>
      </rPr>
      <t xml:space="preserve">
</t>
    </r>
    <r>
      <rPr>
        <b/>
        <sz val="10"/>
        <rFont val="Verdana"/>
        <family val="2"/>
        <charset val="204"/>
      </rPr>
      <t>Згідно проекту:ЗВК</t>
    </r>
    <r>
      <rPr>
        <sz val="10"/>
        <rFont val="Verdana"/>
        <family val="2"/>
        <charset val="204"/>
      </rPr>
      <t xml:space="preserve">
</t>
    </r>
    <r>
      <rPr>
        <b/>
        <sz val="10"/>
        <rFont val="Verdana"/>
        <family val="2"/>
        <charset val="204"/>
      </rPr>
      <t>(окреме погодження замовника)</t>
    </r>
  </si>
  <si>
    <r>
      <rPr>
        <b/>
        <u/>
        <sz val="10"/>
        <rFont val="Verdana"/>
        <family val="2"/>
        <charset val="204"/>
      </rPr>
      <t>Зовнішній Водопровід В-1</t>
    </r>
    <r>
      <rPr>
        <sz val="10"/>
        <rFont val="Verdana"/>
        <family val="2"/>
        <charset val="204"/>
      </rPr>
      <t xml:space="preserve">:
Земляні роботи, врізка до водопроводу, що існує, монтаж колодязів, встановлення запірної арматури, випробування, піщана підсипка та засипка, виконання промивки та знезараження нового трубопроводу.   
</t>
    </r>
    <r>
      <rPr>
        <b/>
        <sz val="10"/>
        <rFont val="Verdana"/>
        <family val="2"/>
        <charset val="204"/>
      </rPr>
      <t>Виконання всіх робіт під ключ з введенням мережі в експлуатацію, виконавче знімання траси!</t>
    </r>
    <r>
      <rPr>
        <sz val="10"/>
        <rFont val="Verdana"/>
        <family val="2"/>
        <charset val="204"/>
      </rPr>
      <t xml:space="preserve">
</t>
    </r>
    <r>
      <rPr>
        <b/>
        <sz val="10"/>
        <rFont val="Verdana"/>
        <family val="2"/>
        <charset val="204"/>
      </rPr>
      <t>(окреме погодження замовника)</t>
    </r>
    <r>
      <rPr>
        <sz val="10"/>
        <rFont val="Verdana"/>
        <family val="2"/>
        <charset val="204"/>
      </rPr>
      <t xml:space="preserve">
</t>
    </r>
    <r>
      <rPr>
        <b/>
        <sz val="10"/>
        <rFont val="Verdana"/>
        <family val="2"/>
        <charset val="204"/>
      </rPr>
      <t>Згідно проекту: ЗВК</t>
    </r>
  </si>
  <si>
    <r>
      <rPr>
        <b/>
        <u/>
        <sz val="10"/>
        <rFont val="Verdana"/>
        <family val="2"/>
        <charset val="204"/>
      </rPr>
      <t xml:space="preserve">Трубопроводи </t>
    </r>
    <r>
      <rPr>
        <sz val="10"/>
        <rFont val="Verdana"/>
        <family val="2"/>
        <charset val="204"/>
      </rPr>
      <t xml:space="preserve">ПЕ100 Ø40 - </t>
    </r>
    <r>
      <rPr>
        <b/>
        <sz val="10"/>
        <rFont val="Verdana"/>
        <family val="2"/>
        <charset val="204"/>
      </rPr>
      <t xml:space="preserve">80 мп
</t>
    </r>
    <r>
      <rPr>
        <sz val="10"/>
        <rFont val="Verdana"/>
        <family val="2"/>
        <charset val="204"/>
      </rPr>
      <t xml:space="preserve">Футляр стальн. Ø273x7 -  </t>
    </r>
    <r>
      <rPr>
        <b/>
        <sz val="10"/>
        <rFont val="Verdana"/>
        <family val="2"/>
        <charset val="204"/>
      </rPr>
      <t xml:space="preserve">25мп
</t>
    </r>
    <r>
      <rPr>
        <b/>
        <u/>
        <sz val="10"/>
        <rFont val="Verdana"/>
        <family val="2"/>
        <charset val="204"/>
      </rPr>
      <t>З/Б колодязь ø1,5 м - 1шт.</t>
    </r>
    <r>
      <rPr>
        <b/>
        <sz val="10"/>
        <rFont val="Verdana"/>
        <family val="2"/>
        <charset val="204"/>
      </rPr>
      <t xml:space="preserve"> 
</t>
    </r>
    <r>
      <rPr>
        <sz val="10"/>
        <rFont val="Verdana"/>
        <family val="2"/>
        <charset val="204"/>
      </rPr>
      <t xml:space="preserve">комплект +люк +драбина
(КЦД-15 -1шт.; КЦД-15-9 - 2шт.; КЦО- 1шт.; КЦП-1-15-1 -1шт.)
</t>
    </r>
    <r>
      <rPr>
        <b/>
        <u/>
        <sz val="10"/>
        <rFont val="Verdana"/>
        <family val="2"/>
        <charset val="204"/>
      </rPr>
      <t>Муфта терморезисторна:</t>
    </r>
    <r>
      <rPr>
        <sz val="10"/>
        <rFont val="Verdana"/>
        <family val="2"/>
        <charset val="204"/>
      </rPr>
      <t xml:space="preserve">
Ø110 - </t>
    </r>
    <r>
      <rPr>
        <b/>
        <sz val="10"/>
        <rFont val="Verdana"/>
        <family val="2"/>
        <charset val="204"/>
      </rPr>
      <t>4шт</t>
    </r>
    <r>
      <rPr>
        <sz val="10"/>
        <rFont val="Verdana"/>
        <family val="2"/>
        <charset val="204"/>
      </rPr>
      <t xml:space="preserve">. 
водомірний вузол (дублюючий) -1шт
Водомірний вузол з GSM модулем (встановлення, здача в експлуатацію, пломбування) -1шт.
Піщана підсипка та засипка - </t>
    </r>
    <r>
      <rPr>
        <b/>
        <sz val="10"/>
        <rFont val="Verdana"/>
        <family val="2"/>
        <charset val="204"/>
      </rPr>
      <t>15 м3.</t>
    </r>
  </si>
  <si>
    <r>
      <t xml:space="preserve">Каналізація К-1:
(господарсько - фекальна) 
</t>
    </r>
    <r>
      <rPr>
        <sz val="10"/>
        <rFont val="Verdana"/>
        <family val="2"/>
        <charset val="204"/>
      </rPr>
      <t>(під'єднання до очисних споруд, земляні роботи, піщана основа, ущільнення грунту під трубопроводи та під колодязі, монтаж трубопроводів та запірної арматури, залізобетонні колодязі) 
Випробування мережі на пролив. Зовнішня обмазувальна гідроізоляція каналізаційних колодязів бітумною мастикою за два рази (розуклонка днищ важким бетоном)</t>
    </r>
  </si>
  <si>
    <r>
      <rPr>
        <b/>
        <u/>
        <sz val="10"/>
        <rFont val="Verdana"/>
        <family val="2"/>
        <charset val="204"/>
      </rPr>
      <t xml:space="preserve">Трубопроводи:
</t>
    </r>
    <r>
      <rPr>
        <sz val="10"/>
        <rFont val="Verdana"/>
        <family val="2"/>
        <charset val="204"/>
      </rPr>
      <t xml:space="preserve">ПВХ SN8 Ø160 - </t>
    </r>
    <r>
      <rPr>
        <b/>
        <sz val="10"/>
        <rFont val="Verdana"/>
        <family val="2"/>
        <charset val="204"/>
      </rPr>
      <t xml:space="preserve">55 мп.
</t>
    </r>
    <r>
      <rPr>
        <sz val="10"/>
        <rFont val="Verdana"/>
        <family val="2"/>
        <charset val="204"/>
      </rPr>
      <t xml:space="preserve">Виконання жолобів в колодязях з трубопроводів - </t>
    </r>
    <r>
      <rPr>
        <b/>
        <sz val="10"/>
        <rFont val="Verdana"/>
        <family val="2"/>
        <charset val="204"/>
      </rPr>
      <t>4м.</t>
    </r>
    <r>
      <rPr>
        <b/>
        <u/>
        <sz val="10"/>
        <rFont val="Verdana"/>
        <family val="2"/>
        <charset val="204"/>
      </rPr>
      <t xml:space="preserve">
З/Б колодязі </t>
    </r>
    <r>
      <rPr>
        <sz val="10"/>
        <rFont val="Verdana"/>
        <family val="2"/>
        <charset val="204"/>
      </rPr>
      <t>(комплект +люк +драбина):
Ø1,0м h=0,9÷1,9 -</t>
    </r>
    <r>
      <rPr>
        <b/>
        <sz val="10"/>
        <rFont val="Verdana"/>
        <family val="2"/>
        <charset val="204"/>
      </rPr>
      <t>4 шт;</t>
    </r>
    <r>
      <rPr>
        <sz val="10"/>
        <rFont val="Verdana"/>
        <family val="2"/>
        <charset val="204"/>
      </rPr>
      <t xml:space="preserve">
Ø2,0м h=2,0 -</t>
    </r>
    <r>
      <rPr>
        <b/>
        <sz val="10"/>
        <rFont val="Verdana"/>
        <family val="2"/>
        <charset val="204"/>
      </rPr>
      <t>1 шт;
(колодязь сепаратора жиру)</t>
    </r>
    <r>
      <rPr>
        <u/>
        <sz val="10"/>
        <rFont val="Verdana"/>
        <family val="2"/>
        <charset val="204"/>
      </rPr>
      <t xml:space="preserve">
</t>
    </r>
    <r>
      <rPr>
        <sz val="10"/>
        <rFont val="Verdana"/>
        <family val="2"/>
        <charset val="204"/>
      </rPr>
      <t>Гідроізоляція бітумом.
Пісок -24м3
Підключення до очисних споруд.</t>
    </r>
  </si>
  <si>
    <r>
      <rPr>
        <b/>
        <sz val="10"/>
        <rFont val="Verdana"/>
        <family val="2"/>
        <charset val="204"/>
      </rPr>
      <t xml:space="preserve">Каналізація К-1: (по території господарсько - фекальна) 
</t>
    </r>
    <r>
      <rPr>
        <sz val="10"/>
        <rFont val="Verdana"/>
        <family val="2"/>
        <charset val="204"/>
      </rPr>
      <t xml:space="preserve">Влаштування локальних очисних споруд сепаратора жиру "СЖК 14.4-2,0"  (піщана основа, монтаж в проектне положення та під'єднання, піщана засипка).
</t>
    </r>
    <r>
      <rPr>
        <b/>
        <sz val="10"/>
        <color rgb="FFFF0000"/>
        <rFont val="Verdana"/>
        <family val="2"/>
        <charset val="204"/>
      </rPr>
      <t>Вартість обладнання врахована в поз. 9.3</t>
    </r>
  </si>
  <si>
    <r>
      <rPr>
        <b/>
        <u/>
        <sz val="10"/>
        <rFont val="Verdana"/>
        <family val="2"/>
        <charset val="204"/>
      </rPr>
      <t>Монтаж насосної стаціонарної станції - 1шт.</t>
    </r>
    <r>
      <rPr>
        <b/>
        <sz val="10"/>
        <rFont val="Verdana"/>
        <family val="2"/>
        <charset val="204"/>
      </rPr>
      <t xml:space="preserve">
</t>
    </r>
    <r>
      <rPr>
        <sz val="10"/>
        <rFont val="Verdana"/>
        <family val="2"/>
        <charset val="204"/>
      </rPr>
      <t xml:space="preserve">Земляні роботи - </t>
    </r>
    <r>
      <rPr>
        <b/>
        <sz val="10"/>
        <rFont val="Verdana"/>
        <family val="2"/>
        <charset val="204"/>
      </rPr>
      <t xml:space="preserve">137м3
</t>
    </r>
    <r>
      <rPr>
        <sz val="10"/>
        <rFont val="Verdana"/>
        <family val="2"/>
        <charset val="204"/>
      </rPr>
      <t xml:space="preserve">щебінь - </t>
    </r>
    <r>
      <rPr>
        <b/>
        <sz val="10"/>
        <rFont val="Verdana"/>
        <family val="2"/>
        <charset val="204"/>
      </rPr>
      <t xml:space="preserve">2,5м3
</t>
    </r>
    <r>
      <rPr>
        <sz val="10"/>
        <rFont val="Verdana"/>
        <family val="2"/>
        <charset val="204"/>
      </rPr>
      <t xml:space="preserve">бетон - </t>
    </r>
    <r>
      <rPr>
        <b/>
        <sz val="10"/>
        <rFont val="Verdana"/>
        <family val="2"/>
        <charset val="204"/>
      </rPr>
      <t xml:space="preserve">2м3
</t>
    </r>
    <r>
      <rPr>
        <sz val="10"/>
        <rFont val="Verdana"/>
        <family val="2"/>
        <charset val="204"/>
      </rPr>
      <t>зворотня засипка -</t>
    </r>
    <r>
      <rPr>
        <b/>
        <sz val="10"/>
        <rFont val="Verdana"/>
        <family val="2"/>
        <charset val="204"/>
      </rPr>
      <t>120м3</t>
    </r>
    <r>
      <rPr>
        <sz val="10"/>
        <rFont val="Verdana"/>
        <family val="2"/>
        <charset val="204"/>
      </rPr>
      <t xml:space="preserve"> (в т.ч відсів-пісок - </t>
    </r>
    <r>
      <rPr>
        <b/>
        <sz val="10"/>
        <rFont val="Verdana"/>
        <family val="2"/>
        <charset val="204"/>
      </rPr>
      <t>60м3</t>
    </r>
    <r>
      <rPr>
        <sz val="10"/>
        <rFont val="Verdana"/>
        <family val="2"/>
        <charset val="204"/>
      </rPr>
      <t xml:space="preserve">, існ грунт - </t>
    </r>
    <r>
      <rPr>
        <b/>
        <sz val="10"/>
        <rFont val="Verdana"/>
        <family val="2"/>
        <charset val="204"/>
      </rPr>
      <t>60м3</t>
    </r>
    <r>
      <rPr>
        <sz val="10"/>
        <rFont val="Verdana"/>
        <family val="2"/>
        <charset val="204"/>
      </rPr>
      <t xml:space="preserve">)
</t>
    </r>
    <r>
      <rPr>
        <b/>
        <sz val="10"/>
        <rFont val="Verdana"/>
        <family val="2"/>
        <charset val="204"/>
      </rPr>
      <t>Монтаж з підключенням до каналізаціі.
Бетонування та монтаж стійки під зовнішню шафу КНС:</t>
    </r>
    <r>
      <rPr>
        <sz val="10"/>
        <rFont val="Verdana"/>
        <family val="2"/>
        <charset val="204"/>
      </rPr>
      <t xml:space="preserve">
Земляні роботи - </t>
    </r>
    <r>
      <rPr>
        <b/>
        <sz val="10"/>
        <rFont val="Verdana"/>
        <family val="2"/>
        <charset val="204"/>
      </rPr>
      <t xml:space="preserve">0,15м3
</t>
    </r>
    <r>
      <rPr>
        <sz val="10"/>
        <rFont val="Verdana"/>
        <family val="2"/>
        <charset val="204"/>
      </rPr>
      <t xml:space="preserve">бетонування та монтаж стійки - проф труба 40*40 - </t>
    </r>
    <r>
      <rPr>
        <b/>
        <sz val="10"/>
        <rFont val="Verdana"/>
        <family val="2"/>
        <charset val="204"/>
      </rPr>
      <t xml:space="preserve">2м
</t>
    </r>
    <r>
      <rPr>
        <sz val="10"/>
        <rFont val="Verdana"/>
        <family val="2"/>
        <charset val="204"/>
      </rPr>
      <t xml:space="preserve">бетон - </t>
    </r>
    <r>
      <rPr>
        <b/>
        <sz val="10"/>
        <rFont val="Verdana"/>
        <family val="2"/>
        <charset val="204"/>
      </rPr>
      <t xml:space="preserve">0,05м3
</t>
    </r>
    <r>
      <rPr>
        <sz val="10"/>
        <rFont val="Verdana"/>
        <family val="2"/>
        <charset val="204"/>
      </rPr>
      <t xml:space="preserve">грунтування, фарбування МК
</t>
    </r>
    <r>
      <rPr>
        <b/>
        <sz val="10"/>
        <rFont val="Verdana"/>
        <family val="2"/>
        <charset val="204"/>
      </rPr>
      <t>Монтаж шафи КНС</t>
    </r>
    <r>
      <rPr>
        <sz val="10"/>
        <rFont val="Verdana"/>
        <family val="2"/>
        <charset val="204"/>
      </rPr>
      <t xml:space="preserve"> - Бокс монтаж пласт. УЕК ЩМПп 500х400х240  ІР65 +мет.панель</t>
    </r>
  </si>
  <si>
    <r>
      <rPr>
        <b/>
        <sz val="10"/>
        <rFont val="Verdana"/>
        <family val="2"/>
        <charset val="204"/>
      </rPr>
      <t>Каналізація К-2
Дощова каналізація з покрівель</t>
    </r>
    <r>
      <rPr>
        <sz val="10"/>
        <rFont val="Verdana"/>
        <family val="2"/>
        <charset val="204"/>
      </rPr>
      <t xml:space="preserve">
(земляні роботи, ущільнення грунту під трубопроводи та колодязі, влаштування піщаної основи, залізобетонні колодязі, прокладання трубопроводів, підмурівка горловин з ФЕМ випробування) Зовнішня обмазувальна гідроізоляція каналізаційних колодязів бітумною мастикою за два рази. Врізка в мережу, що існує. Випробування мережі на пролив.</t>
    </r>
  </si>
  <si>
    <r>
      <rPr>
        <b/>
        <sz val="10"/>
        <rFont val="Verdana"/>
        <family val="2"/>
        <charset val="204"/>
      </rPr>
      <t xml:space="preserve">Трубопроводи:
</t>
    </r>
    <r>
      <rPr>
        <sz val="10"/>
        <rFont val="Verdana"/>
        <family val="2"/>
        <charset val="204"/>
      </rPr>
      <t xml:space="preserve">ПВХ SN8 Ø110 - </t>
    </r>
    <r>
      <rPr>
        <b/>
        <sz val="10"/>
        <rFont val="Verdana"/>
        <family val="2"/>
        <charset val="204"/>
      </rPr>
      <t>8мп</t>
    </r>
    <r>
      <rPr>
        <sz val="10"/>
        <rFont val="Verdana"/>
        <family val="2"/>
        <charset val="204"/>
      </rPr>
      <t xml:space="preserve">
ПВХ SN8 Ø200 - </t>
    </r>
    <r>
      <rPr>
        <b/>
        <sz val="10"/>
        <rFont val="Verdana"/>
        <family val="2"/>
        <charset val="204"/>
      </rPr>
      <t>86мп
Виконання жолобів в колодязях з трубопр. - 10м.</t>
    </r>
    <r>
      <rPr>
        <sz val="10"/>
        <rFont val="Verdana"/>
        <family val="2"/>
        <charset val="204"/>
      </rPr>
      <t xml:space="preserve">
</t>
    </r>
    <r>
      <rPr>
        <b/>
        <sz val="10"/>
        <rFont val="Verdana"/>
        <family val="2"/>
        <charset val="204"/>
      </rPr>
      <t xml:space="preserve">З/Б колодязі </t>
    </r>
    <r>
      <rPr>
        <sz val="10"/>
        <rFont val="Verdana"/>
        <family val="2"/>
        <charset val="204"/>
      </rPr>
      <t xml:space="preserve">(комплект + люк + драбина):
Ø1,0м h=0,9 </t>
    </r>
    <r>
      <rPr>
        <b/>
        <sz val="10"/>
        <rFont val="Verdana"/>
        <family val="2"/>
        <charset val="204"/>
      </rPr>
      <t>- 6шт;</t>
    </r>
    <r>
      <rPr>
        <sz val="10"/>
        <rFont val="Verdana"/>
        <family val="2"/>
        <charset val="204"/>
      </rPr>
      <t xml:space="preserve">
Гідроізоляція бітумом.
Пісок - </t>
    </r>
    <r>
      <rPr>
        <b/>
        <sz val="10"/>
        <rFont val="Verdana"/>
        <family val="2"/>
        <charset val="204"/>
      </rPr>
      <t>25м3</t>
    </r>
    <r>
      <rPr>
        <sz val="10"/>
        <rFont val="Verdana"/>
        <family val="2"/>
        <charset val="204"/>
      </rPr>
      <t xml:space="preserve"> 
Підключення до очисних споруд.   Виконання врізки дощової каналізації в залізобетонні лотки перенесеної дренажної канави.</t>
    </r>
  </si>
  <si>
    <r>
      <rPr>
        <b/>
        <sz val="10"/>
        <rFont val="Verdana"/>
        <family val="2"/>
        <charset val="204"/>
      </rPr>
      <t xml:space="preserve">Каналізація К-3
дощова каналізація (з місць локальних забруднень) </t>
    </r>
    <r>
      <rPr>
        <sz val="10"/>
        <rFont val="Verdana"/>
        <family val="2"/>
        <charset val="204"/>
      </rPr>
      <t>(земляні роботи, ущільнення грунту під трубопроводи та колодязі, піщана основа, залізобетонний колодязь з засувками, колодязь для монтажу сепаратора нафтопродуктів, випробування мереж, монтаж колодязів, монтаж гідрозатворів, розуклонка днищ важким бетоном. Зовнішня обмазувальна гідроізоляція каналізаційних колодязів бітумною мастикою за два рази. Випробування мережі на пролив.</t>
    </r>
  </si>
  <si>
    <r>
      <rPr>
        <b/>
        <u/>
        <sz val="10"/>
        <rFont val="Verdana"/>
        <family val="2"/>
        <charset val="204"/>
      </rPr>
      <t>Трубопроводи:</t>
    </r>
    <r>
      <rPr>
        <sz val="10"/>
        <rFont val="Verdana"/>
        <family val="2"/>
        <charset val="204"/>
      </rPr>
      <t xml:space="preserve">
ПВХ SN8 Ø200 - </t>
    </r>
    <r>
      <rPr>
        <b/>
        <sz val="10"/>
        <rFont val="Verdana"/>
        <family val="2"/>
        <charset val="204"/>
      </rPr>
      <t xml:space="preserve">27мп
</t>
    </r>
    <r>
      <rPr>
        <sz val="10"/>
        <rFont val="Verdana"/>
        <family val="2"/>
        <charset val="204"/>
      </rPr>
      <t xml:space="preserve">Виконання жолобів в колодязях з трубопроводів - </t>
    </r>
    <r>
      <rPr>
        <b/>
        <sz val="10"/>
        <rFont val="Verdana"/>
        <family val="2"/>
        <charset val="204"/>
      </rPr>
      <t xml:space="preserve">3м.
</t>
    </r>
    <r>
      <rPr>
        <b/>
        <u/>
        <sz val="10"/>
        <rFont val="Verdana"/>
        <family val="2"/>
        <charset val="204"/>
      </rPr>
      <t>Гідрозатвор 1:</t>
    </r>
    <r>
      <rPr>
        <b/>
        <sz val="10"/>
        <rFont val="Verdana"/>
        <family val="2"/>
        <charset val="204"/>
      </rPr>
      <t xml:space="preserve">
</t>
    </r>
    <r>
      <rPr>
        <sz val="10"/>
        <rFont val="Verdana"/>
        <family val="2"/>
        <charset val="204"/>
      </rPr>
      <t xml:space="preserve">ПВХ SN8 Ø200 - 3мп, відвід ПВХ Ø200 - 3шт.
З/Б колодязі (комплект +люк +драбина):
Ø1,0м h=0,9 </t>
    </r>
    <r>
      <rPr>
        <b/>
        <sz val="10"/>
        <rFont val="Verdana"/>
        <family val="2"/>
        <charset val="204"/>
      </rPr>
      <t>- 3шт;</t>
    </r>
    <r>
      <rPr>
        <sz val="10"/>
        <rFont val="Verdana"/>
        <family val="2"/>
        <charset val="204"/>
      </rPr>
      <t xml:space="preserve">
Гідроізоляція бітумом. Пісок -15,0м3 
Підключення до очисних споруд.</t>
    </r>
  </si>
  <si>
    <r>
      <rPr>
        <b/>
        <sz val="10"/>
        <rFont val="Verdana"/>
        <family val="2"/>
        <charset val="204"/>
      </rPr>
      <t>Каналізація К-3 (по території АЗК)</t>
    </r>
    <r>
      <rPr>
        <sz val="10"/>
        <rFont val="Verdana"/>
        <family val="2"/>
        <charset val="204"/>
      </rPr>
      <t xml:space="preserve">
дощова каналізація по території АЗК
Монтаж сепаратора нафтопродуктів
</t>
    </r>
    <r>
      <rPr>
        <b/>
        <sz val="10"/>
        <rFont val="Verdana"/>
        <family val="2"/>
        <charset val="204"/>
      </rPr>
      <t>Biobox N 10/50</t>
    </r>
    <r>
      <rPr>
        <sz val="10"/>
        <rFont val="Verdana"/>
        <family val="2"/>
        <charset val="204"/>
      </rPr>
      <t xml:space="preserve">
</t>
    </r>
    <r>
      <rPr>
        <b/>
        <sz val="10"/>
        <color rgb="FFFF0000"/>
        <rFont val="Verdana"/>
        <family val="2"/>
        <charset val="204"/>
      </rPr>
      <t>Вартість обладнання врахована в поз. 9.4</t>
    </r>
  </si>
  <si>
    <r>
      <t xml:space="preserve">Влаштування пожежного гідранту
Гідрант пожежний H=1,5м Ø100- Влаштування пожежної трійникової підставки
Підставка під гідрант трійникова чавунна 
ППТØ 100. Терморезисторне зварювання!
Враховані всі фланці та фітинги!
</t>
    </r>
    <r>
      <rPr>
        <b/>
        <sz val="10"/>
        <color rgb="FF000000"/>
        <rFont val="Verdana"/>
        <family val="2"/>
        <charset val="204"/>
      </rPr>
      <t>Перевірка та випробування гідранта - ДСНС введенням в експлуатацію</t>
    </r>
  </si>
  <si>
    <t>Отримання ордеру (дозволу) на проведення земляних робіт, погодження пересікання траси з компаніями Укртелеком, Обленерго, Водоканал. Отримання погодження від Деп. Нац. Поліції для проведення робіт вздовж траси, погодження відновлення благоустрою з місцевим ШЕД.  Здача всіх робіт в КП "Водоканал".  Виконання всіх робіт під ключ з введенням мережі в експлуатацію згідно проект.</t>
  </si>
  <si>
    <r>
      <rPr>
        <b/>
        <sz val="10"/>
        <rFont val="Verdana"/>
        <family val="2"/>
        <charset val="204"/>
      </rPr>
      <t>Зовнішній Водопровід В-1:</t>
    </r>
    <r>
      <rPr>
        <sz val="10"/>
        <rFont val="Verdana"/>
        <family val="2"/>
        <charset val="204"/>
      </rPr>
      <t xml:space="preserve">
Проведення пусконалагоджувальних робіт, введення мереж в експлуатацію. Здача всіх робіт в КП "Водоканал". Виконання всіх робіт під ключ</t>
    </r>
  </si>
  <si>
    <r>
      <t xml:space="preserve">Отримання ордеру (дозволу) на проведення земляних робіт, погодження пересікання траси з компаніями Укртелеком, Обленерго, УЕГГ, Водоканал. Отримання погодження від Деп. Нац. Поліції для проведення робіт вздовж траси, погодження відновлення благоустрою з місцевим ШЕД. </t>
    </r>
    <r>
      <rPr>
        <b/>
        <sz val="10"/>
        <rFont val="Verdana"/>
        <family val="2"/>
        <charset val="204"/>
      </rPr>
      <t xml:space="preserve">Здача всіх робіт в КП "водоканал". </t>
    </r>
    <r>
      <rPr>
        <sz val="10"/>
        <rFont val="Verdana"/>
        <family val="2"/>
        <charset val="204"/>
      </rPr>
      <t xml:space="preserve"> Виконання всіх робіт під ключ з введенням мережі в експлуатацію</t>
    </r>
  </si>
  <si>
    <r>
      <rPr>
        <b/>
        <sz val="10"/>
        <rFont val="Verdana"/>
        <family val="2"/>
        <charset val="204"/>
      </rPr>
      <t xml:space="preserve">Зовнішня напірна каналізація К-1.
(господарсько - фекальна) 
</t>
    </r>
    <r>
      <rPr>
        <sz val="10"/>
        <rFont val="Verdana"/>
        <family val="2"/>
        <charset val="204"/>
      </rPr>
      <t xml:space="preserve">Проведення пусконалагоджувальних робіт, введення мереж в експлуатацію. </t>
    </r>
    <r>
      <rPr>
        <b/>
        <sz val="10"/>
        <rFont val="Verdana"/>
        <family val="2"/>
        <charset val="204"/>
      </rPr>
      <t>Здача всіх робіт в КП "Водоканал"</t>
    </r>
    <r>
      <rPr>
        <sz val="10"/>
        <rFont val="Verdana"/>
        <family val="2"/>
        <charset val="204"/>
      </rPr>
      <t xml:space="preserve">  Виконання всіх робіт під ключ</t>
    </r>
  </si>
  <si>
    <r>
      <t xml:space="preserve">Відповідальність Підрядника. 
</t>
    </r>
    <r>
      <rPr>
        <b/>
        <sz val="10"/>
        <color rgb="FFFF0000"/>
        <rFont val="Verdana"/>
        <family val="2"/>
        <charset val="204"/>
      </rPr>
      <t>Пункт не змінний</t>
    </r>
  </si>
  <si>
    <r>
      <t xml:space="preserve">Відповідальність Підрядника.
</t>
    </r>
    <r>
      <rPr>
        <b/>
        <sz val="10"/>
        <color rgb="FFFF0000"/>
        <rFont val="Verdana"/>
        <family val="2"/>
        <charset val="204"/>
      </rPr>
      <t>Пункт не змінний</t>
    </r>
  </si>
  <si>
    <r>
      <t>Відповідальність Підрядника</t>
    </r>
    <r>
      <rPr>
        <b/>
        <sz val="10"/>
        <rFont val="Verdana"/>
        <family val="2"/>
        <charset val="204"/>
      </rPr>
      <t xml:space="preserve">.
</t>
    </r>
    <r>
      <rPr>
        <b/>
        <sz val="10"/>
        <color rgb="FFFF0000"/>
        <rFont val="Verdana"/>
        <family val="2"/>
        <charset val="204"/>
      </rPr>
      <t>Пункт не змінний</t>
    </r>
  </si>
  <si>
    <t>Назва учасника (включаючи організаційно-правову форму)</t>
  </si>
  <si>
    <t>Код ЄДРПОУ</t>
  </si>
  <si>
    <t>Iндивiдуальний податковий номер / номер ДРФО</t>
  </si>
  <si>
    <t>Юридична адреса</t>
  </si>
  <si>
    <t>Фактична адреса</t>
  </si>
  <si>
    <t>Банківські реквізити</t>
  </si>
  <si>
    <t>ПІБ та назва посади керівника</t>
  </si>
  <si>
    <t>Номер телефону контактної особи</t>
  </si>
  <si>
    <t>* сірим позначено клітинки, які заповнює учасник</t>
  </si>
  <si>
    <t>Реконструкція будівлі операторської з магазином супутніх товарів існуючої автозавправної станції на вулиці Руській, 250-Б в місті Чернівці, гривень з ПДВ</t>
  </si>
  <si>
    <t>% (не більше  20%)</t>
  </si>
  <si>
    <t>Ціна, грн з ПДВ</t>
  </si>
  <si>
    <t>Кількість шт або м2</t>
  </si>
  <si>
    <t xml:space="preserve">Щиток оператора, щиток Хот-Кафе, пожежний, вентиляційний, фотореле </t>
  </si>
  <si>
    <t>по факту одиниць - 2 шт/міс 
оренда,перевезення, мотаж- демонт, експлуатація</t>
  </si>
  <si>
    <r>
      <t xml:space="preserve">Демонтажу ФЕМ - </t>
    </r>
    <r>
      <rPr>
        <b/>
        <sz val="10"/>
        <rFont val="Verdana"/>
        <family val="2"/>
        <charset val="204"/>
      </rPr>
      <t xml:space="preserve">600 м2
</t>
    </r>
    <r>
      <rPr>
        <sz val="10"/>
        <rFont val="Verdana"/>
        <family val="2"/>
        <charset val="204"/>
      </rPr>
      <t xml:space="preserve">Завантаження демонтованих матеріалів для вивезення та утилізація </t>
    </r>
    <r>
      <rPr>
        <b/>
        <sz val="10"/>
        <color rgb="FFFF0000"/>
        <rFont val="Verdana"/>
        <family val="2"/>
        <charset val="204"/>
      </rPr>
      <t>(без зберігання матеріалу-уточнюється згідно дефектного акту</t>
    </r>
    <r>
      <rPr>
        <sz val="10"/>
        <color rgb="FFFF0000"/>
        <rFont val="Verdana"/>
        <family val="2"/>
        <charset val="204"/>
      </rPr>
      <t>)</t>
    </r>
    <r>
      <rPr>
        <sz val="10"/>
        <rFont val="Verdana"/>
        <family val="2"/>
        <charset val="204"/>
      </rPr>
      <t xml:space="preserve"> </t>
    </r>
  </si>
  <si>
    <r>
      <t xml:space="preserve">Демонтажу ФЕМ - </t>
    </r>
    <r>
      <rPr>
        <b/>
        <sz val="10"/>
        <rFont val="Verdana"/>
        <family val="2"/>
        <charset val="204"/>
      </rPr>
      <t>800 м2</t>
    </r>
    <r>
      <rPr>
        <sz val="10"/>
        <rFont val="Verdana"/>
        <family val="2"/>
        <charset val="204"/>
      </rPr>
      <t xml:space="preserve">
Для повторного використання (Чищення та складування)
</t>
    </r>
    <r>
      <rPr>
        <b/>
        <sz val="10"/>
        <color rgb="FFFF0000"/>
        <rFont val="Verdana"/>
        <family val="2"/>
        <charset val="204"/>
      </rPr>
      <t xml:space="preserve">(Зі збереження матеріалів </t>
    </r>
    <r>
      <rPr>
        <sz val="10"/>
        <color rgb="FFFF0000"/>
        <rFont val="Verdana"/>
        <family val="2"/>
        <charset val="204"/>
      </rPr>
      <t>уточнюється згідно дефектного акту</t>
    </r>
    <r>
      <rPr>
        <b/>
        <sz val="10"/>
        <color rgb="FFFF0000"/>
        <rFont val="Verdana"/>
        <family val="2"/>
        <charset val="204"/>
      </rPr>
      <t>)</t>
    </r>
  </si>
  <si>
    <r>
      <t xml:space="preserve">Бак - 4м3 </t>
    </r>
    <r>
      <rPr>
        <b/>
        <sz val="10"/>
        <rFont val="Verdana"/>
        <family val="2"/>
        <charset val="204"/>
      </rPr>
      <t>(20м3)</t>
    </r>
    <r>
      <rPr>
        <sz val="10"/>
        <rFont val="Verdana"/>
        <family val="2"/>
        <charset val="204"/>
      </rPr>
      <t xml:space="preserve"> Утримання вузла та баку запасу води для потреб будівництва (закривається рл факту зупинки існуючого водопостачання)</t>
    </r>
  </si>
  <si>
    <r>
      <t xml:space="preserve">Установка миття коліс (доставка, монтаж, утримання та демонтаж дорожніх плит 2*3м -6шт, експлуатація миюч. уст. КЕРХЕР або аналог -8 міс. - </t>
    </r>
    <r>
      <rPr>
        <sz val="10"/>
        <color rgb="FFFF0000"/>
        <rFont val="Verdana"/>
        <family val="2"/>
        <charset val="204"/>
      </rPr>
      <t>за окремим погодженням Замовника</t>
    </r>
  </si>
  <si>
    <r>
      <t xml:space="preserve">Загальна довж. ел. лінії - </t>
    </r>
    <r>
      <rPr>
        <b/>
        <sz val="10"/>
        <rFont val="Verdana"/>
        <family val="2"/>
        <charset val="204"/>
      </rPr>
      <t>100мп</t>
    </r>
    <r>
      <rPr>
        <sz val="10"/>
        <rFont val="Verdana"/>
        <family val="2"/>
        <charset val="204"/>
      </rPr>
      <t xml:space="preserve"> 
(уточнюється по факту) Прокладання кабелів за тимчасовою схемою до буд майданчика. Встановлення тимчасового щита генпідрядника для своїх потреб та субпідрядних організацій АВВГ 4*16 -100мп для потреб будівельного майданчику.  </t>
    </r>
    <r>
      <rPr>
        <sz val="10"/>
        <color rgb="FFFF0000"/>
        <rFont val="Verdana"/>
        <family val="2"/>
        <charset val="204"/>
      </rPr>
      <t>Кабель - зворотній матеріал, закривається 30% вартості.</t>
    </r>
  </si>
  <si>
    <r>
      <t xml:space="preserve">К-ть дерев які підлягають зрізці та вивезенню - </t>
    </r>
    <r>
      <rPr>
        <b/>
        <sz val="11"/>
        <rFont val="Times New Roman"/>
        <family val="1"/>
        <charset val="204"/>
      </rPr>
      <t>16шт.</t>
    </r>
    <r>
      <rPr>
        <sz val="11"/>
        <rFont val="Times New Roman"/>
        <family val="1"/>
        <charset val="204"/>
      </rPr>
      <t xml:space="preserve">
В розцінку включено корчування пеньків їх вивезенням та утилізацію.</t>
    </r>
    <r>
      <rPr>
        <sz val="11"/>
        <color rgb="FFFF0000"/>
        <rFont val="Times New Roman"/>
        <family val="1"/>
        <charset val="204"/>
      </rPr>
      <t>(закривається по факту)</t>
    </r>
  </si>
  <si>
    <r>
      <t xml:space="preserve">Шурфування  для визначення та погодження фактичного знаходженняя мереж </t>
    </r>
    <r>
      <rPr>
        <sz val="10"/>
        <color rgb="FFFF0000"/>
        <rFont val="Verdana"/>
        <family val="2"/>
        <charset val="204"/>
      </rPr>
      <t>(закривається по факту)</t>
    </r>
  </si>
  <si>
    <r>
      <t xml:space="preserve">Демонтаж обшивки з профлиста 
</t>
    </r>
    <r>
      <rPr>
        <sz val="10"/>
        <color rgb="FFFF0000"/>
        <rFont val="Verdana"/>
        <family val="2"/>
        <charset val="204"/>
      </rPr>
      <t>(Зі збереження матеріалів уточнюється згідно дефектного акту)</t>
    </r>
  </si>
  <si>
    <r>
      <rPr>
        <sz val="10"/>
        <color theme="1"/>
        <rFont val="Verdana"/>
        <family val="2"/>
        <charset val="204"/>
      </rPr>
      <t>Щиток, решітки, вентилятори,</t>
    </r>
    <r>
      <rPr>
        <sz val="10"/>
        <color rgb="FFFF0000"/>
        <rFont val="Verdana"/>
        <family val="2"/>
        <charset val="204"/>
      </rPr>
      <t xml:space="preserve"> кондиціонери. З збереженням</t>
    </r>
    <r>
      <rPr>
        <sz val="10"/>
        <color indexed="8"/>
        <rFont val="Verdana"/>
        <family val="2"/>
        <charset val="204"/>
      </rPr>
      <t xml:space="preserve">. </t>
    </r>
    <r>
      <rPr>
        <sz val="10"/>
        <color rgb="FFFF0000"/>
        <rFont val="Verdana"/>
        <family val="2"/>
        <charset val="204"/>
      </rPr>
      <t>(Зі збереження матеріалів уточнюється згідно дефектного акту)</t>
    </r>
  </si>
  <si>
    <t>(Зі збереження матеріалів уточнюється згідно дефектного акту)</t>
  </si>
  <si>
    <r>
      <t xml:space="preserve">Демонтаж обладнання подачі води зі збереженням матеріалів -11шт 
</t>
    </r>
    <r>
      <rPr>
        <sz val="10"/>
        <color rgb="FFFF0000"/>
        <rFont val="Verdana"/>
        <family val="2"/>
        <charset val="204"/>
      </rPr>
      <t>(Зі збереження матеріалів уточнюється згідно дефектного акту)</t>
    </r>
  </si>
  <si>
    <r>
      <t xml:space="preserve">кількість знаків- 10 шт. </t>
    </r>
    <r>
      <rPr>
        <b/>
        <sz val="10"/>
        <color rgb="FFFF0000"/>
        <rFont val="Verdana"/>
        <family val="2"/>
        <charset val="204"/>
      </rPr>
      <t>(закривається по факту)</t>
    </r>
  </si>
  <si>
    <r>
      <t>Огородження території + ворота -</t>
    </r>
    <r>
      <rPr>
        <b/>
        <sz val="10"/>
        <color rgb="FF000000"/>
        <rFont val="Verdana"/>
        <family val="2"/>
        <charset val="204"/>
      </rPr>
      <t>100 мп</t>
    </r>
    <r>
      <rPr>
        <sz val="10"/>
        <color indexed="8"/>
        <rFont val="Verdana"/>
        <family val="2"/>
        <charset val="204"/>
      </rPr>
      <t xml:space="preserve">
Матеріал - профлист.  </t>
    </r>
    <r>
      <rPr>
        <b/>
        <sz val="10"/>
        <color rgb="FF000000"/>
        <rFont val="Verdana"/>
        <family val="2"/>
        <charset val="204"/>
      </rPr>
      <t xml:space="preserve">H=2м.
</t>
    </r>
    <r>
      <rPr>
        <sz val="10"/>
        <color rgb="FF000000"/>
        <rFont val="Verdana"/>
        <family val="2"/>
        <charset val="204"/>
      </rPr>
      <t xml:space="preserve">Деревяний брус, всі кріпильні мат. </t>
    </r>
    <r>
      <rPr>
        <sz val="10"/>
        <color rgb="FFFF0000"/>
        <rFont val="Verdana"/>
        <family val="2"/>
        <charset val="204"/>
      </rPr>
      <t>(закривається по факту)</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</si>
</sst>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г_р_н_._-;\-* #,##0.00\ _г_р_н_._-;_-* &quot;-&quot;??\ _г_р_н_._-;_-@_-"/>
    <numFmt numFmtId="165" formatCode="0.0"/>
    <numFmt numFmtId="166" formatCode="#,##0.0"/>
    <numFmt numFmtId="167" formatCode="_-* #,##0.00\ _г_р_н_._-;\-* #,##0.00\ _г_р_н_._-;_-* \-??\ _г_р_н_._-;_-@_-"/>
  </numFmts>
  <fonts count="143" x14ac:knownFonts="1">
    <font>
      <sz val="10"/>
      <name val="Arial Cyr"/>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8"/>
      <name val="Arial Cyr"/>
      <charset val="204"/>
    </font>
    <font>
      <u/>
      <sz val="10"/>
      <color indexed="12"/>
      <name val="Arial Cyr"/>
      <charset val="204"/>
    </font>
    <font>
      <sz val="10"/>
      <name val="Arial Cyr"/>
      <charset val="204"/>
    </font>
    <font>
      <sz val="10"/>
      <name val="Arial"/>
      <family val="2"/>
      <charset val="204"/>
    </font>
    <font>
      <sz val="10"/>
      <name val="Arial Cyr"/>
      <family val="2"/>
      <charset val="204"/>
    </font>
    <font>
      <sz val="8"/>
      <name val="Arial"/>
      <family val="2"/>
      <charset val="204"/>
    </font>
    <font>
      <b/>
      <sz val="11"/>
      <name val="Times New Roman"/>
      <family val="1"/>
      <charset val="204"/>
    </font>
    <font>
      <sz val="10"/>
      <name val="Arial"/>
      <family val="2"/>
    </font>
    <font>
      <sz val="11"/>
      <color indexed="8"/>
      <name val="Calibri"/>
      <family val="2"/>
    </font>
    <font>
      <sz val="9"/>
      <name val="Verdana"/>
      <family val="2"/>
      <charset val="204"/>
    </font>
    <font>
      <sz val="10"/>
      <name val="Verdana"/>
      <family val="2"/>
      <charset val="204"/>
    </font>
    <font>
      <b/>
      <sz val="10"/>
      <color indexed="12"/>
      <name val="Verdana"/>
      <family val="2"/>
      <charset val="204"/>
    </font>
    <font>
      <sz val="11"/>
      <name val="Verdana"/>
      <family val="2"/>
      <charset val="204"/>
    </font>
    <font>
      <sz val="8"/>
      <name val="Verdana"/>
      <family val="2"/>
      <charset val="204"/>
    </font>
    <font>
      <sz val="8"/>
      <color indexed="10"/>
      <name val="Verdana"/>
      <family val="2"/>
      <charset val="204"/>
    </font>
    <font>
      <b/>
      <sz val="11"/>
      <name val="Verdana"/>
      <family val="2"/>
      <charset val="204"/>
    </font>
    <font>
      <sz val="11"/>
      <color indexed="8"/>
      <name val="Verdana"/>
      <family val="2"/>
      <charset val="204"/>
    </font>
    <font>
      <sz val="11"/>
      <color theme="1"/>
      <name val="Calibri"/>
      <family val="2"/>
      <scheme val="minor"/>
    </font>
    <font>
      <sz val="11"/>
      <color indexed="8"/>
      <name val="Calibri"/>
      <family val="2"/>
      <charset val="204"/>
    </font>
    <font>
      <sz val="10"/>
      <name val="Arial"/>
      <family val="2"/>
      <charset val="1"/>
    </font>
    <font>
      <sz val="10"/>
      <color indexed="8"/>
      <name val="Arial"/>
      <family val="2"/>
      <charset val="204"/>
    </font>
    <font>
      <sz val="11"/>
      <color theme="1"/>
      <name val="Arial Cyr"/>
      <charset val="204"/>
    </font>
    <font>
      <sz val="10"/>
      <color theme="1"/>
      <name val="Arial Cyr"/>
      <charset val="204"/>
    </font>
    <font>
      <u/>
      <sz val="10"/>
      <color indexed="12"/>
      <name val="Arial Cyr"/>
      <family val="2"/>
      <charset val="204"/>
    </font>
    <font>
      <sz val="11"/>
      <color indexed="9"/>
      <name val="Calibri"/>
      <family val="2"/>
      <charset val="204"/>
    </font>
    <font>
      <sz val="11"/>
      <color indexed="62"/>
      <name val="Calibri"/>
      <family val="2"/>
      <charset val="204"/>
    </font>
    <font>
      <sz val="11"/>
      <color indexed="17"/>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sz val="11"/>
      <color indexed="52"/>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b/>
      <sz val="11"/>
      <color indexed="52"/>
      <name val="Calibri"/>
      <family val="2"/>
      <charset val="204"/>
    </font>
    <font>
      <b/>
      <sz val="11"/>
      <color indexed="8"/>
      <name val="Calibri"/>
      <family val="2"/>
      <charset val="204"/>
    </font>
    <font>
      <sz val="11"/>
      <color indexed="20"/>
      <name val="Calibri"/>
      <family val="2"/>
      <charset val="204"/>
    </font>
    <font>
      <b/>
      <sz val="11"/>
      <color indexed="63"/>
      <name val="Calibri"/>
      <family val="2"/>
      <charset val="204"/>
    </font>
    <font>
      <sz val="11"/>
      <color indexed="10"/>
      <name val="Calibri"/>
      <family val="2"/>
      <charset val="204"/>
    </font>
    <font>
      <i/>
      <sz val="11"/>
      <color indexed="23"/>
      <name val="Calibri"/>
      <family val="2"/>
      <charset val="204"/>
    </font>
    <font>
      <sz val="11"/>
      <color indexed="8"/>
      <name val="Calibri"/>
      <family val="2"/>
      <charset val="1"/>
    </font>
    <font>
      <sz val="8"/>
      <color rgb="FF000000"/>
      <name val="Arial"/>
      <family val="2"/>
      <charset val="204"/>
    </font>
    <font>
      <b/>
      <sz val="8"/>
      <color rgb="FF000000"/>
      <name val="Arial"/>
      <family val="2"/>
      <charset val="204"/>
    </font>
    <font>
      <b/>
      <sz val="10"/>
      <color rgb="FF000000"/>
      <name val="Arial"/>
      <family val="2"/>
      <charset val="204"/>
    </font>
    <font>
      <sz val="11"/>
      <color rgb="FF000000"/>
      <name val="Calibri"/>
      <family val="2"/>
      <charset val="1"/>
    </font>
    <font>
      <sz val="11"/>
      <color theme="1"/>
      <name val="Times New Roman"/>
      <family val="2"/>
      <charset val="204"/>
    </font>
    <font>
      <sz val="10"/>
      <color rgb="FF000000"/>
      <name val="Arial"/>
      <family val="2"/>
      <charset val="204"/>
    </font>
    <font>
      <sz val="9"/>
      <name val="Arial Cyr"/>
      <charset val="204"/>
    </font>
    <font>
      <sz val="9"/>
      <color theme="0" tint="-0.14999847407452621"/>
      <name val="Verdana"/>
      <family val="2"/>
      <charset val="204"/>
    </font>
    <font>
      <sz val="8"/>
      <color indexed="9"/>
      <name val="Arial Cyr"/>
      <charset val="204"/>
    </font>
    <font>
      <sz val="12"/>
      <name val="Times New Roman"/>
      <family val="1"/>
      <charset val="204"/>
    </font>
    <font>
      <sz val="14"/>
      <name val="Arial Cyr"/>
      <charset val="204"/>
    </font>
    <font>
      <sz val="10"/>
      <color rgb="FFFF0000"/>
      <name val="Verdana"/>
      <family val="2"/>
      <charset val="204"/>
    </font>
    <font>
      <b/>
      <sz val="10"/>
      <color rgb="FF000000"/>
      <name val="Verdana"/>
      <family val="2"/>
      <charset val="204"/>
    </font>
    <font>
      <b/>
      <sz val="10"/>
      <name val="Verdana"/>
      <family val="2"/>
      <charset val="204"/>
    </font>
    <font>
      <sz val="10"/>
      <color indexed="8"/>
      <name val="Verdana"/>
      <family val="2"/>
      <charset val="204"/>
    </font>
    <font>
      <sz val="10"/>
      <name val="Verdana"/>
      <family val="2"/>
    </font>
    <font>
      <sz val="11"/>
      <name val="Times New Roman"/>
      <family val="1"/>
      <charset val="204"/>
    </font>
    <font>
      <b/>
      <sz val="10"/>
      <color indexed="8"/>
      <name val="Verdana"/>
      <family val="2"/>
      <charset val="204"/>
    </font>
    <font>
      <u/>
      <sz val="10"/>
      <color indexed="8"/>
      <name val="Verdana"/>
      <family val="2"/>
      <charset val="204"/>
    </font>
    <font>
      <sz val="10"/>
      <color rgb="FF000000"/>
      <name val="Verdana"/>
      <family val="2"/>
      <charset val="204"/>
    </font>
    <font>
      <sz val="10"/>
      <color rgb="FF000000"/>
      <name val="Calibri"/>
      <family val="2"/>
      <scheme val="minor"/>
    </font>
    <font>
      <b/>
      <sz val="11"/>
      <color indexed="8"/>
      <name val="Verdana"/>
      <family val="2"/>
      <charset val="204"/>
    </font>
    <font>
      <b/>
      <sz val="9"/>
      <color theme="1"/>
      <name val="Verdana"/>
      <family val="2"/>
    </font>
    <font>
      <i/>
      <sz val="9"/>
      <color theme="1"/>
      <name val="Verdana"/>
      <family val="2"/>
    </font>
    <font>
      <sz val="9"/>
      <color theme="1"/>
      <name val="Verdana"/>
      <family val="2"/>
    </font>
    <font>
      <b/>
      <vertAlign val="superscript"/>
      <sz val="9"/>
      <color theme="1"/>
      <name val="Verdana"/>
      <family val="2"/>
    </font>
    <font>
      <sz val="7"/>
      <color theme="1"/>
      <name val="Verdana"/>
      <family val="2"/>
    </font>
    <font>
      <sz val="9"/>
      <color rgb="FF000000"/>
      <name val="Verdana"/>
      <family val="2"/>
    </font>
    <font>
      <b/>
      <sz val="9"/>
      <color rgb="FFFF0000"/>
      <name val="Verdana"/>
      <family val="2"/>
    </font>
    <font>
      <sz val="10"/>
      <color theme="1"/>
      <name val="Calibri"/>
      <family val="2"/>
      <scheme val="minor"/>
    </font>
    <font>
      <sz val="8"/>
      <color indexed="8"/>
      <name val="Verdana"/>
      <family val="2"/>
      <charset val="204"/>
    </font>
    <font>
      <sz val="11"/>
      <color theme="1"/>
      <name val="Verdana"/>
      <family val="2"/>
      <charset val="204"/>
    </font>
    <font>
      <sz val="7"/>
      <name val="Verdana"/>
      <family val="2"/>
      <charset val="204"/>
    </font>
    <font>
      <sz val="11"/>
      <name val="Verdana"/>
      <family val="2"/>
      <charset val="1"/>
    </font>
    <font>
      <i/>
      <sz val="11"/>
      <name val="Verdana"/>
      <family val="2"/>
      <charset val="204"/>
    </font>
    <font>
      <sz val="8"/>
      <name val="Verdana"/>
      <family val="2"/>
    </font>
    <font>
      <b/>
      <u/>
      <sz val="10"/>
      <name val="Verdana"/>
      <family val="2"/>
      <charset val="204"/>
    </font>
    <font>
      <u/>
      <sz val="10"/>
      <name val="Verdana"/>
      <family val="2"/>
      <charset val="204"/>
    </font>
    <font>
      <b/>
      <sz val="10"/>
      <color indexed="10"/>
      <name val="Verdana"/>
      <family val="2"/>
      <charset val="204"/>
    </font>
    <font>
      <b/>
      <sz val="12"/>
      <name val="Verdana"/>
      <family val="2"/>
      <charset val="204"/>
    </font>
    <font>
      <b/>
      <sz val="16"/>
      <name val="Verdana"/>
      <family val="2"/>
      <charset val="204"/>
    </font>
    <font>
      <sz val="10"/>
      <color theme="1"/>
      <name val="Verdana"/>
      <family val="2"/>
      <charset val="204"/>
    </font>
    <font>
      <sz val="12"/>
      <color theme="1" tint="4.9989318521683403E-2"/>
      <name val="Verdana"/>
      <family val="2"/>
      <charset val="204"/>
    </font>
    <font>
      <sz val="12"/>
      <name val="Verdana"/>
      <family val="2"/>
      <charset val="204"/>
    </font>
    <font>
      <b/>
      <sz val="12"/>
      <color indexed="12"/>
      <name val="Verdana"/>
      <family val="2"/>
      <charset val="204"/>
    </font>
    <font>
      <b/>
      <sz val="12"/>
      <color indexed="8"/>
      <name val="Verdana"/>
      <family val="2"/>
      <charset val="204"/>
    </font>
    <font>
      <b/>
      <sz val="10"/>
      <color rgb="FFFF0000"/>
      <name val="Verdana"/>
      <family val="2"/>
      <charset val="204"/>
    </font>
    <font>
      <vertAlign val="superscript"/>
      <sz val="10"/>
      <name val="Verdana"/>
      <family val="2"/>
      <charset val="204"/>
    </font>
    <font>
      <sz val="10"/>
      <color indexed="8"/>
      <name val="Verdana"/>
      <family val="2"/>
    </font>
    <font>
      <b/>
      <i/>
      <sz val="10"/>
      <color rgb="FFFF0000"/>
      <name val="Verdana"/>
      <family val="2"/>
      <charset val="204"/>
    </font>
    <font>
      <b/>
      <sz val="9"/>
      <color indexed="81"/>
      <name val="Tahoma"/>
      <family val="2"/>
      <charset val="204"/>
    </font>
    <font>
      <sz val="9"/>
      <color indexed="81"/>
      <name val="Tahoma"/>
      <family val="2"/>
      <charset val="204"/>
    </font>
    <font>
      <b/>
      <sz val="12"/>
      <color rgb="FF0000FF"/>
      <name val="Verdana"/>
      <family val="2"/>
      <charset val="204"/>
    </font>
    <font>
      <sz val="12"/>
      <color indexed="8"/>
      <name val="Verdana"/>
      <family val="2"/>
      <charset val="204"/>
    </font>
    <font>
      <b/>
      <i/>
      <u/>
      <sz val="10"/>
      <name val="Verdana"/>
      <family val="2"/>
      <charset val="204"/>
    </font>
    <font>
      <b/>
      <i/>
      <sz val="10"/>
      <name val="Verdana"/>
      <family val="2"/>
      <charset val="204"/>
    </font>
    <font>
      <b/>
      <u/>
      <sz val="10"/>
      <color rgb="FF000000"/>
      <name val="Verdana"/>
      <family val="2"/>
      <charset val="204"/>
    </font>
    <font>
      <b/>
      <vertAlign val="superscript"/>
      <sz val="10"/>
      <name val="Verdana"/>
      <family val="2"/>
      <charset val="204"/>
    </font>
    <font>
      <b/>
      <sz val="10"/>
      <color theme="1"/>
      <name val="Verdana"/>
      <family val="2"/>
      <charset val="204"/>
    </font>
    <font>
      <b/>
      <sz val="12"/>
      <color theme="9" tint="-0.499984740745262"/>
      <name val="Verdana"/>
      <family val="2"/>
      <charset val="204"/>
    </font>
    <font>
      <b/>
      <sz val="10"/>
      <name val="Verdana"/>
      <family val="2"/>
    </font>
    <font>
      <b/>
      <i/>
      <sz val="14"/>
      <color rgb="FF000000"/>
      <name val="Verdana"/>
      <family val="2"/>
      <charset val="204"/>
    </font>
    <font>
      <sz val="11"/>
      <color rgb="FFFF0000"/>
      <name val="Verdana"/>
      <family val="2"/>
      <charset val="204"/>
    </font>
    <font>
      <b/>
      <sz val="11"/>
      <color indexed="12"/>
      <name val="Verdana"/>
      <family val="2"/>
      <charset val="204"/>
    </font>
    <font>
      <b/>
      <i/>
      <sz val="14"/>
      <name val="Verdana"/>
      <family val="2"/>
      <charset val="204"/>
    </font>
    <font>
      <b/>
      <i/>
      <sz val="16"/>
      <name val="Verdana"/>
      <family val="2"/>
      <charset val="204"/>
    </font>
    <font>
      <b/>
      <sz val="14"/>
      <name val="Verdana"/>
      <family val="2"/>
      <charset val="204"/>
    </font>
    <font>
      <sz val="8"/>
      <color indexed="9"/>
      <name val="Verdana"/>
      <family val="2"/>
      <charset val="204"/>
    </font>
    <font>
      <sz val="14"/>
      <name val="Verdana"/>
      <family val="2"/>
      <charset val="204"/>
    </font>
    <font>
      <b/>
      <sz val="14"/>
      <color indexed="8"/>
      <name val="Verdana"/>
      <family val="2"/>
      <charset val="204"/>
    </font>
    <font>
      <sz val="14"/>
      <color indexed="8"/>
      <name val="Verdana"/>
      <family val="2"/>
      <charset val="204"/>
    </font>
    <font>
      <b/>
      <sz val="11"/>
      <color rgb="FFFF0000"/>
      <name val="Verdana"/>
      <family val="2"/>
      <charset val="204"/>
    </font>
    <font>
      <b/>
      <sz val="9"/>
      <name val="Verdana"/>
      <family val="2"/>
      <charset val="204"/>
    </font>
    <font>
      <b/>
      <sz val="11"/>
      <color theme="0"/>
      <name val="Verdana"/>
      <family val="2"/>
      <charset val="204"/>
    </font>
    <font>
      <b/>
      <sz val="12"/>
      <color theme="9" tint="-0.499984740745262"/>
      <name val="Verdana"/>
      <family val="2"/>
    </font>
    <font>
      <b/>
      <sz val="12"/>
      <color rgb="FFFF0000"/>
      <name val="Verdana"/>
      <family val="2"/>
      <charset val="204"/>
    </font>
    <font>
      <b/>
      <sz val="8"/>
      <name val="Verdana"/>
      <family val="2"/>
      <charset val="204"/>
    </font>
    <font>
      <sz val="10"/>
      <color theme="0"/>
      <name val="Verdana"/>
      <family val="2"/>
      <charset val="204"/>
    </font>
    <font>
      <sz val="9"/>
      <color theme="0"/>
      <name val="Verdana"/>
      <family val="2"/>
      <charset val="204"/>
    </font>
    <font>
      <b/>
      <sz val="9"/>
      <color rgb="FF000000"/>
      <name val="Verdana"/>
      <family val="2"/>
      <charset val="204"/>
    </font>
    <font>
      <b/>
      <sz val="9"/>
      <color indexed="8"/>
      <name val="Verdana"/>
      <family val="2"/>
      <charset val="204"/>
    </font>
    <font>
      <sz val="11"/>
      <color indexed="8"/>
      <name val="Times New Roman"/>
      <family val="1"/>
      <charset val="204"/>
    </font>
    <font>
      <vertAlign val="superscript"/>
      <sz val="11"/>
      <name val="Times New Roman"/>
      <family val="1"/>
      <charset val="204"/>
    </font>
    <font>
      <b/>
      <sz val="12"/>
      <color indexed="12"/>
      <name val="Verdana"/>
      <family val="2"/>
    </font>
    <font>
      <b/>
      <sz val="12"/>
      <name val="Verdana"/>
      <family val="2"/>
    </font>
    <font>
      <b/>
      <sz val="12"/>
      <color rgb="FFFF0000"/>
      <name val="Verdana"/>
      <family val="2"/>
    </font>
    <font>
      <b/>
      <sz val="10"/>
      <color indexed="8"/>
      <name val="Verdana"/>
      <family val="2"/>
    </font>
    <font>
      <u/>
      <sz val="10"/>
      <name val="Verdana"/>
      <family val="2"/>
    </font>
    <font>
      <sz val="10"/>
      <color rgb="FF000000"/>
      <name val="Calibri"/>
      <family val="2"/>
      <charset val="204"/>
      <scheme val="minor"/>
    </font>
    <font>
      <u/>
      <sz val="10"/>
      <color rgb="FFFF0000"/>
      <name val="Verdana"/>
      <family val="2"/>
      <charset val="204"/>
    </font>
    <font>
      <b/>
      <sz val="11"/>
      <color rgb="FF0000FF"/>
      <name val="Verdana"/>
      <family val="2"/>
      <charset val="204"/>
    </font>
    <font>
      <b/>
      <u/>
      <sz val="11"/>
      <color rgb="FF0000FF"/>
      <name val="Verdana"/>
      <family val="2"/>
      <charset val="204"/>
    </font>
    <font>
      <i/>
      <sz val="12"/>
      <color indexed="8"/>
      <name val="Verdana"/>
      <family val="2"/>
    </font>
    <font>
      <b/>
      <i/>
      <sz val="12"/>
      <color indexed="8"/>
      <name val="Verdana"/>
      <family val="2"/>
    </font>
    <font>
      <sz val="12"/>
      <name val="Verdana"/>
      <family val="2"/>
    </font>
    <font>
      <sz val="9"/>
      <name val="Arial Cyr"/>
      <family val="2"/>
      <charset val="204"/>
    </font>
    <font>
      <i/>
      <sz val="10"/>
      <color indexed="8"/>
      <name val="Arial"/>
      <family val="2"/>
      <charset val="204"/>
    </font>
    <font>
      <sz val="11"/>
      <color rgb="FFFF0000"/>
      <name val="Times New Roman"/>
      <family val="1"/>
      <charset val="204"/>
    </font>
  </fonts>
  <fills count="54">
    <fill>
      <patternFill patternType="none"/>
    </fill>
    <fill>
      <patternFill patternType="gray125"/>
    </fill>
    <fill>
      <patternFill patternType="solid">
        <fgColor indexed="43"/>
        <bgColor indexed="64"/>
      </patternFill>
    </fill>
    <fill>
      <patternFill patternType="solid">
        <fgColor indexed="13"/>
        <bgColor indexed="64"/>
      </patternFill>
    </fill>
    <fill>
      <patternFill patternType="solid">
        <fgColor indexed="9"/>
        <bgColor indexed="64"/>
      </patternFill>
    </fill>
    <fill>
      <patternFill patternType="solid">
        <fgColor rgb="FF00B0F0"/>
        <bgColor indexed="64"/>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indexed="9"/>
        <bgColor indexed="26"/>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55"/>
        <bgColor indexed="23"/>
      </patternFill>
    </fill>
    <fill>
      <patternFill patternType="solid">
        <fgColor indexed="22"/>
        <bgColor indexed="31"/>
      </patternFill>
    </fill>
    <fill>
      <patternFill patternType="solid">
        <fgColor indexed="26"/>
        <bgColor indexed="9"/>
      </patternFill>
    </fill>
    <fill>
      <patternFill patternType="solid">
        <fgColor indexed="43"/>
        <bgColor indexed="26"/>
      </patternFill>
    </fill>
    <fill>
      <patternFill patternType="solid">
        <fgColor indexed="40"/>
        <bgColor indexed="64"/>
      </patternFill>
    </fill>
    <fill>
      <patternFill patternType="solid">
        <fgColor theme="0"/>
        <bgColor indexed="26"/>
      </patternFill>
    </fill>
    <fill>
      <patternFill patternType="solid">
        <fgColor rgb="FFFFFFFF"/>
        <bgColor rgb="FFFFFFFF"/>
      </patternFill>
    </fill>
    <fill>
      <patternFill patternType="solid">
        <fgColor theme="0"/>
        <bgColor theme="0"/>
      </patternFill>
    </fill>
    <fill>
      <patternFill patternType="solid">
        <fgColor rgb="FFD8D8D8"/>
        <bgColor rgb="FFD8D8D8"/>
      </patternFill>
    </fill>
    <fill>
      <patternFill patternType="solid">
        <fgColor rgb="FFF2DBDB"/>
        <bgColor rgb="FFF2DBDB"/>
      </patternFill>
    </fill>
    <fill>
      <patternFill patternType="solid">
        <fgColor rgb="FFF2F2F2"/>
        <bgColor rgb="FFF2F2F2"/>
      </patternFill>
    </fill>
    <fill>
      <patternFill patternType="solid">
        <fgColor theme="7" tint="0.79998168889431442"/>
        <bgColor indexed="27"/>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0"/>
        <bgColor rgb="FFFFFFFF"/>
      </patternFill>
    </fill>
    <fill>
      <patternFill patternType="solid">
        <fgColor theme="0" tint="-0.34998626667073579"/>
        <bgColor indexed="23"/>
      </patternFill>
    </fill>
    <fill>
      <patternFill patternType="solid">
        <fgColor theme="0" tint="-0.34998626667073579"/>
        <bgColor indexed="64"/>
      </patternFill>
    </fill>
    <fill>
      <patternFill patternType="solid">
        <fgColor theme="0" tint="-0.34998626667073579"/>
        <bgColor rgb="FFBFBFBF"/>
      </patternFill>
    </fill>
    <fill>
      <patternFill patternType="solid">
        <fgColor theme="0" tint="-0.34998626667073579"/>
        <bgColor rgb="FFFFFFFF"/>
      </patternFill>
    </fill>
    <fill>
      <patternFill patternType="solid">
        <fgColor theme="0" tint="-0.34998626667073579"/>
        <bgColor indexed="22"/>
      </patternFill>
    </fill>
    <fill>
      <patternFill patternType="solid">
        <fgColor rgb="FFFFFF00"/>
        <bgColor indexed="27"/>
      </patternFill>
    </fill>
    <fill>
      <patternFill patternType="solid">
        <fgColor rgb="FFFFC000"/>
        <bgColor indexed="64"/>
      </patternFill>
    </fill>
    <fill>
      <patternFill patternType="solid">
        <fgColor theme="0"/>
        <bgColor indexed="27"/>
      </patternFill>
    </fill>
  </fills>
  <borders count="10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dotted">
        <color rgb="FF000000"/>
      </bottom>
      <diagonal/>
    </border>
    <border>
      <left style="thin">
        <color rgb="FF000000"/>
      </left>
      <right/>
      <top style="thin">
        <color rgb="FF000000"/>
      </top>
      <bottom style="dotted">
        <color rgb="FF000000"/>
      </bottom>
      <diagonal/>
    </border>
    <border>
      <left/>
      <right/>
      <top style="thin">
        <color rgb="FF000000"/>
      </top>
      <bottom style="dotted">
        <color rgb="FF000000"/>
      </bottom>
      <diagonal/>
    </border>
    <border>
      <left/>
      <right style="thin">
        <color rgb="FF000000"/>
      </right>
      <top style="thin">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top style="dotted">
        <color rgb="FF000000"/>
      </top>
      <bottom style="dotted">
        <color rgb="FF000000"/>
      </bottom>
      <diagonal/>
    </border>
    <border>
      <left/>
      <right/>
      <top style="dotted">
        <color rgb="FF000000"/>
      </top>
      <bottom style="dotted">
        <color rgb="FF000000"/>
      </bottom>
      <diagonal/>
    </border>
    <border>
      <left/>
      <right style="thin">
        <color rgb="FF000000"/>
      </right>
      <top style="dotted">
        <color rgb="FF000000"/>
      </top>
      <bottom style="dotted">
        <color rgb="FF000000"/>
      </bottom>
      <diagonal/>
    </border>
    <border>
      <left style="thin">
        <color rgb="FF000000"/>
      </left>
      <right style="thin">
        <color rgb="FF000000"/>
      </right>
      <top style="dotted">
        <color rgb="FF000000"/>
      </top>
      <bottom style="thin">
        <color rgb="FF000000"/>
      </bottom>
      <diagonal/>
    </border>
    <border>
      <left/>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bottom style="thin">
        <color auto="1"/>
      </bottom>
      <diagonal/>
    </border>
    <border>
      <left style="thin">
        <color indexed="8"/>
      </left>
      <right style="thin">
        <color indexed="8"/>
      </right>
      <top/>
      <bottom/>
      <diagonal/>
    </border>
    <border>
      <left style="thin">
        <color indexed="64"/>
      </left>
      <right/>
      <top/>
      <bottom/>
      <diagonal/>
    </border>
    <border>
      <left style="thin">
        <color auto="1"/>
      </left>
      <right style="thin">
        <color indexed="64"/>
      </right>
      <top style="thin">
        <color auto="1"/>
      </top>
      <bottom/>
      <diagonal/>
    </border>
    <border>
      <left style="thin">
        <color indexed="8"/>
      </left>
      <right style="thin">
        <color indexed="8"/>
      </right>
      <top style="thin">
        <color indexed="8"/>
      </top>
      <bottom style="thin">
        <color indexed="8"/>
      </bottom>
      <diagonal/>
    </border>
    <border>
      <left style="thin">
        <color theme="1"/>
      </left>
      <right style="thin">
        <color theme="1"/>
      </right>
      <top style="thin">
        <color theme="1"/>
      </top>
      <bottom style="thin">
        <color theme="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bottom/>
      <diagonal/>
    </border>
    <border>
      <left style="thin">
        <color rgb="FF000000"/>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8"/>
      </left>
      <right style="thin">
        <color indexed="8"/>
      </right>
      <top/>
      <bottom style="thin">
        <color indexed="8"/>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rgb="FF000000"/>
      </left>
      <right/>
      <top style="thin">
        <color rgb="FF000000"/>
      </top>
      <bottom/>
      <diagonal/>
    </border>
    <border>
      <left style="thin">
        <color indexed="64"/>
      </left>
      <right/>
      <top style="thin">
        <color indexed="64"/>
      </top>
      <bottom/>
      <diagonal/>
    </border>
    <border>
      <left style="thin">
        <color theme="1"/>
      </left>
      <right style="thin">
        <color theme="1"/>
      </right>
      <top/>
      <bottom style="thin">
        <color theme="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ck">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indexed="8"/>
      </left>
      <right style="thin">
        <color indexed="8"/>
      </right>
      <top/>
      <bottom style="thin">
        <color indexed="8"/>
      </bottom>
      <diagonal/>
    </border>
    <border>
      <left style="thin">
        <color auto="1"/>
      </left>
      <right style="thin">
        <color auto="1"/>
      </right>
      <top style="thin">
        <color auto="1"/>
      </top>
      <bottom style="thin">
        <color auto="1"/>
      </bottom>
      <diagonal/>
    </border>
    <border>
      <left/>
      <right style="thin">
        <color theme="1"/>
      </right>
      <top style="thin">
        <color theme="1"/>
      </top>
      <bottom/>
      <diagonal/>
    </border>
    <border>
      <left style="thin">
        <color auto="1"/>
      </left>
      <right style="thin">
        <color indexed="64"/>
      </right>
      <top style="thin">
        <color auto="1"/>
      </top>
      <bottom/>
      <diagonal/>
    </border>
    <border>
      <left style="thin">
        <color indexed="8"/>
      </left>
      <right/>
      <top style="thin">
        <color indexed="8"/>
      </top>
      <bottom style="thin">
        <color indexed="8"/>
      </bottom>
      <diagonal/>
    </border>
    <border>
      <left style="thin">
        <color auto="1"/>
      </left>
      <right/>
      <top style="thin">
        <color auto="1"/>
      </top>
      <bottom style="thin">
        <color auto="1"/>
      </bottom>
      <diagonal/>
    </border>
    <border>
      <left style="thin">
        <color indexed="64"/>
      </left>
      <right/>
      <top/>
      <bottom style="thin">
        <color indexed="64"/>
      </bottom>
      <diagonal/>
    </border>
    <border>
      <left style="thin">
        <color auto="1"/>
      </left>
      <right style="thin">
        <color auto="1"/>
      </right>
      <top/>
      <bottom style="thin">
        <color auto="1"/>
      </bottom>
      <diagonal/>
    </border>
    <border>
      <left style="thin">
        <color auto="1"/>
      </left>
      <right style="thin">
        <color indexed="8"/>
      </right>
      <top style="thin">
        <color auto="1"/>
      </top>
      <bottom/>
      <diagonal/>
    </border>
    <border>
      <left style="thin">
        <color indexed="64"/>
      </left>
      <right style="thin">
        <color indexed="8"/>
      </right>
      <top style="thin">
        <color indexed="64"/>
      </top>
      <bottom/>
      <diagonal/>
    </border>
    <border>
      <left style="thin">
        <color auto="1"/>
      </left>
      <right style="thin">
        <color auto="1"/>
      </right>
      <top style="thin">
        <color auto="1"/>
      </top>
      <bottom style="thin">
        <color auto="1"/>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rgb="FF000000"/>
      </top>
      <bottom style="thin">
        <color indexed="64"/>
      </bottom>
      <diagonal/>
    </border>
    <border>
      <left style="thin">
        <color indexed="64"/>
      </left>
      <right/>
      <top style="thin">
        <color rgb="FF000000"/>
      </top>
      <bottom style="thin">
        <color rgb="FF000000"/>
      </bottom>
      <diagonal/>
    </border>
    <border>
      <left style="thin">
        <color indexed="64"/>
      </left>
      <right/>
      <top style="thin">
        <color indexed="64"/>
      </top>
      <bottom style="thin">
        <color rgb="FF000000"/>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64"/>
      </bottom>
      <diagonal/>
    </border>
    <border>
      <left style="thin">
        <color rgb="FF000000"/>
      </left>
      <right/>
      <top/>
      <bottom style="thin">
        <color indexed="64"/>
      </bottom>
      <diagonal/>
    </border>
    <border>
      <left style="thin">
        <color auto="1"/>
      </left>
      <right style="thin">
        <color indexed="64"/>
      </right>
      <top style="thin">
        <color rgb="FF000000"/>
      </top>
      <bottom style="thin">
        <color indexed="64"/>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149">
    <xf numFmtId="0" fontId="0" fillId="0" borderId="0"/>
    <xf numFmtId="0" fontId="5" fillId="0" borderId="0" applyNumberFormat="0" applyFill="0" applyBorder="0" applyAlignment="0" applyProtection="0">
      <alignment vertical="top"/>
      <protection locked="0"/>
    </xf>
    <xf numFmtId="0" fontId="7" fillId="0" borderId="0"/>
    <xf numFmtId="0" fontId="8" fillId="0" borderId="0"/>
    <xf numFmtId="0" fontId="9" fillId="0" borderId="0">
      <alignment horizontal="left"/>
    </xf>
    <xf numFmtId="0" fontId="11" fillId="0" borderId="0"/>
    <xf numFmtId="0" fontId="12" fillId="0" borderId="0"/>
    <xf numFmtId="0" fontId="6" fillId="0" borderId="0"/>
    <xf numFmtId="0" fontId="8" fillId="0" borderId="0"/>
    <xf numFmtId="0" fontId="9" fillId="0" borderId="0">
      <alignment horizontal="left"/>
    </xf>
    <xf numFmtId="164" fontId="6" fillId="0" borderId="0" applyFont="0" applyFill="0" applyBorder="0" applyAlignment="0" applyProtection="0"/>
    <xf numFmtId="0" fontId="8" fillId="0" borderId="0"/>
    <xf numFmtId="0" fontId="8" fillId="0" borderId="0"/>
    <xf numFmtId="0" fontId="6" fillId="0" borderId="0"/>
    <xf numFmtId="0" fontId="21" fillId="0" borderId="0"/>
    <xf numFmtId="0" fontId="9" fillId="0" borderId="0">
      <alignment horizontal="left"/>
    </xf>
    <xf numFmtId="0" fontId="8" fillId="0" borderId="0"/>
    <xf numFmtId="0" fontId="3" fillId="0" borderId="0"/>
    <xf numFmtId="0" fontId="3" fillId="0" borderId="0"/>
    <xf numFmtId="0" fontId="22" fillId="0" borderId="0"/>
    <xf numFmtId="0" fontId="6" fillId="0" borderId="0"/>
    <xf numFmtId="0" fontId="8" fillId="0" borderId="0"/>
    <xf numFmtId="0" fontId="23" fillId="0" borderId="0"/>
    <xf numFmtId="0" fontId="24" fillId="0" borderId="0"/>
    <xf numFmtId="0" fontId="22" fillId="0" borderId="0"/>
    <xf numFmtId="0" fontId="8" fillId="0" borderId="0"/>
    <xf numFmtId="0" fontId="22" fillId="0" borderId="0"/>
    <xf numFmtId="0" fontId="25" fillId="0" borderId="0"/>
    <xf numFmtId="0" fontId="26" fillId="0" borderId="0"/>
    <xf numFmtId="0" fontId="22"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14"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8" fillId="21"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8" fillId="0" borderId="0"/>
    <xf numFmtId="49" fontId="45" fillId="0" borderId="0">
      <alignment horizontal="left" vertical="center" wrapText="1"/>
    </xf>
    <xf numFmtId="49" fontId="45" fillId="0" borderId="23">
      <alignment horizontal="center" vertical="center" wrapText="1"/>
    </xf>
    <xf numFmtId="0" fontId="46" fillId="0" borderId="24">
      <alignment horizontal="right" vertical="center" wrapText="1"/>
    </xf>
    <xf numFmtId="49" fontId="46" fillId="0" borderId="25">
      <alignment horizontal="left" vertical="center" wrapText="1"/>
    </xf>
    <xf numFmtId="0" fontId="46" fillId="0" borderId="26">
      <alignment horizontal="right" vertical="center" wrapText="1"/>
    </xf>
    <xf numFmtId="0" fontId="46" fillId="0" borderId="27">
      <alignment horizontal="right" vertical="center" wrapText="1"/>
    </xf>
    <xf numFmtId="0" fontId="46" fillId="0" borderId="28">
      <alignment horizontal="right" vertical="center" wrapText="1"/>
    </xf>
    <xf numFmtId="49" fontId="46" fillId="0" borderId="29">
      <alignment horizontal="left" vertical="center" wrapText="1"/>
    </xf>
    <xf numFmtId="0" fontId="46" fillId="0" borderId="30">
      <alignment horizontal="right" vertical="center" wrapText="1"/>
    </xf>
    <xf numFmtId="0" fontId="46" fillId="0" borderId="31">
      <alignment horizontal="right" vertical="center" wrapText="1"/>
    </xf>
    <xf numFmtId="49" fontId="45" fillId="0" borderId="28">
      <alignment horizontal="right" vertical="center" wrapText="1"/>
    </xf>
    <xf numFmtId="0" fontId="45" fillId="0" borderId="0">
      <alignment horizontal="left" vertical="center"/>
    </xf>
    <xf numFmtId="49" fontId="45" fillId="0" borderId="28">
      <alignment horizontal="left" vertical="center" wrapText="1"/>
    </xf>
    <xf numFmtId="0" fontId="45" fillId="0" borderId="28">
      <alignment horizontal="right" vertical="center" wrapText="1"/>
    </xf>
    <xf numFmtId="0" fontId="45" fillId="0" borderId="28">
      <alignment horizontal="left" vertical="center" wrapText="1"/>
    </xf>
    <xf numFmtId="49" fontId="45" fillId="0" borderId="32">
      <alignment horizontal="right" vertical="center" wrapText="1"/>
    </xf>
    <xf numFmtId="49" fontId="45" fillId="0" borderId="32">
      <alignment horizontal="left" vertical="center" wrapText="1"/>
    </xf>
    <xf numFmtId="0" fontId="45" fillId="0" borderId="32">
      <alignment horizontal="right" vertical="center" wrapText="1"/>
    </xf>
    <xf numFmtId="0" fontId="45" fillId="0" borderId="33">
      <alignment horizontal="left" vertical="center"/>
    </xf>
    <xf numFmtId="49" fontId="47" fillId="0" borderId="0">
      <alignment horizontal="center" vertical="center" wrapText="1"/>
    </xf>
    <xf numFmtId="0" fontId="46" fillId="0" borderId="0">
      <alignment horizontal="center" vertical="center"/>
    </xf>
    <xf numFmtId="49" fontId="45" fillId="0" borderId="34">
      <alignment horizontal="left" vertical="center" wrapText="1"/>
    </xf>
    <xf numFmtId="0" fontId="45" fillId="0" borderId="34">
      <alignment horizontal="left" vertical="center"/>
    </xf>
    <xf numFmtId="49" fontId="45" fillId="0" borderId="35">
      <alignment horizontal="center" vertical="center" wrapText="1"/>
    </xf>
    <xf numFmtId="49" fontId="45" fillId="0" borderId="36">
      <alignment horizontal="center" vertical="center" wrapText="1"/>
    </xf>
    <xf numFmtId="49" fontId="45" fillId="0" borderId="37">
      <alignment horizontal="center" vertical="center" wrapText="1"/>
    </xf>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8" borderId="0" applyNumberFormat="0" applyBorder="0" applyAlignment="0" applyProtection="0"/>
    <xf numFmtId="0" fontId="29" fillId="16" borderId="14" applyNumberFormat="0" applyAlignment="0" applyProtection="0"/>
    <xf numFmtId="0" fontId="27" fillId="0" borderId="0" applyNumberFormat="0" applyFill="0" applyBorder="0" applyAlignment="0" applyProtection="0"/>
    <xf numFmtId="0" fontId="27" fillId="0" borderId="0" applyNumberFormat="0" applyFill="0" applyBorder="0" applyProtection="0"/>
    <xf numFmtId="0" fontId="5" fillId="0" borderId="0" applyNumberFormat="0" applyFill="0" applyBorder="0" applyAlignment="0" applyProtection="0">
      <alignment vertical="top"/>
      <protection locked="0"/>
    </xf>
    <xf numFmtId="0" fontId="30" fillId="13" borderId="0" applyNumberFormat="0" applyBorder="0" applyAlignment="0" applyProtection="0"/>
    <xf numFmtId="0" fontId="31" fillId="0" borderId="16" applyNumberFormat="0" applyFill="0" applyAlignment="0" applyProtection="0"/>
    <xf numFmtId="0" fontId="31" fillId="0" borderId="16" applyNumberFormat="0" applyFill="0" applyProtection="0"/>
    <xf numFmtId="0" fontId="31" fillId="0" borderId="16" applyNumberFormat="0" applyFill="0" applyAlignment="0" applyProtection="0"/>
    <xf numFmtId="0" fontId="32" fillId="0" borderId="17" applyNumberFormat="0" applyFill="0" applyAlignment="0" applyProtection="0"/>
    <xf numFmtId="0" fontId="32" fillId="0" borderId="17" applyNumberFormat="0" applyFill="0" applyProtection="0"/>
    <xf numFmtId="0" fontId="32" fillId="0" borderId="17" applyNumberFormat="0" applyFill="0" applyAlignment="0" applyProtection="0"/>
    <xf numFmtId="0" fontId="33" fillId="0" borderId="18" applyNumberFormat="0" applyFill="0" applyAlignment="0" applyProtection="0"/>
    <xf numFmtId="0" fontId="33" fillId="0" borderId="18" applyNumberFormat="0" applyFill="0" applyProtection="0"/>
    <xf numFmtId="0" fontId="33" fillId="0" borderId="18" applyNumberFormat="0" applyFill="0" applyAlignment="0" applyProtection="0"/>
    <xf numFmtId="0" fontId="33" fillId="0" borderId="0" applyNumberFormat="0" applyFill="0" applyBorder="0" applyAlignment="0" applyProtection="0"/>
    <xf numFmtId="0" fontId="33" fillId="0" borderId="0" applyNumberFormat="0" applyFill="0" applyBorder="0" applyProtection="0"/>
    <xf numFmtId="0" fontId="33" fillId="0" borderId="0" applyNumberFormat="0" applyFill="0" applyBorder="0" applyAlignment="0" applyProtection="0"/>
    <xf numFmtId="0" fontId="2" fillId="0" borderId="0"/>
    <xf numFmtId="0" fontId="48" fillId="0" borderId="0"/>
    <xf numFmtId="0" fontId="7" fillId="0" borderId="0"/>
    <xf numFmtId="0" fontId="44" fillId="0" borderId="0"/>
    <xf numFmtId="0" fontId="8" fillId="0" borderId="0"/>
    <xf numFmtId="0" fontId="49" fillId="0" borderId="0"/>
    <xf numFmtId="0" fontId="8" fillId="0" borderId="0"/>
    <xf numFmtId="0" fontId="48" fillId="0" borderId="0"/>
    <xf numFmtId="0" fontId="22" fillId="0" borderId="0"/>
    <xf numFmtId="0" fontId="48" fillId="0" borderId="0"/>
    <xf numFmtId="0" fontId="7" fillId="0" borderId="0"/>
    <xf numFmtId="0" fontId="22" fillId="0" borderId="0"/>
    <xf numFmtId="0" fontId="44" fillId="0" borderId="0"/>
    <xf numFmtId="0" fontId="22" fillId="0" borderId="0"/>
    <xf numFmtId="0" fontId="2" fillId="0" borderId="0"/>
    <xf numFmtId="0" fontId="8" fillId="0" borderId="0"/>
    <xf numFmtId="0" fontId="2" fillId="0" borderId="0"/>
    <xf numFmtId="0" fontId="2" fillId="0" borderId="0"/>
    <xf numFmtId="0" fontId="6" fillId="0" borderId="0"/>
    <xf numFmtId="0" fontId="34" fillId="0" borderId="19" applyNumberFormat="0" applyFill="0" applyAlignment="0" applyProtection="0"/>
    <xf numFmtId="0" fontId="35" fillId="29" borderId="21" applyNumberFormat="0" applyAlignment="0" applyProtection="0"/>
    <xf numFmtId="0" fontId="36" fillId="0" borderId="0" applyNumberFormat="0" applyFill="0" applyBorder="0" applyAlignment="0" applyProtection="0"/>
    <xf numFmtId="0" fontId="38" fillId="30" borderId="14" applyNumberFormat="0" applyAlignment="0" applyProtection="0"/>
    <xf numFmtId="0" fontId="39" fillId="0" borderId="20" applyNumberFormat="0" applyFill="0" applyAlignment="0" applyProtection="0"/>
    <xf numFmtId="0" fontId="40" fillId="12" borderId="0" applyNumberFormat="0" applyBorder="0" applyAlignment="0" applyProtection="0"/>
    <xf numFmtId="0" fontId="22" fillId="31" borderId="22" applyNumberFormat="0" applyAlignment="0" applyProtection="0"/>
    <xf numFmtId="0" fontId="41" fillId="30" borderId="15" applyNumberFormat="0" applyAlignment="0" applyProtection="0"/>
    <xf numFmtId="0" fontId="37" fillId="32" borderId="0" applyNumberFormat="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167" fontId="8" fillId="0" borderId="0" applyFill="0" applyBorder="0" applyAlignment="0" applyProtection="0"/>
    <xf numFmtId="0" fontId="2" fillId="0" borderId="0"/>
    <xf numFmtId="0" fontId="8" fillId="0" borderId="0"/>
    <xf numFmtId="0" fontId="2" fillId="0" borderId="0"/>
    <xf numFmtId="0" fontId="50" fillId="0" borderId="0"/>
    <xf numFmtId="0" fontId="26" fillId="0" borderId="0"/>
    <xf numFmtId="0" fontId="24" fillId="0" borderId="0"/>
    <xf numFmtId="0" fontId="22" fillId="0" borderId="0"/>
    <xf numFmtId="0" fontId="22" fillId="0" borderId="0"/>
    <xf numFmtId="0" fontId="2" fillId="0" borderId="0"/>
    <xf numFmtId="0" fontId="2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3" fillId="0" borderId="0"/>
  </cellStyleXfs>
  <cellXfs count="770">
    <xf numFmtId="0" fontId="0" fillId="0" borderId="0" xfId="0"/>
    <xf numFmtId="164" fontId="0" fillId="2" borderId="0" xfId="0" applyNumberFormat="1" applyFill="1" applyAlignment="1">
      <alignment horizontal="center"/>
    </xf>
    <xf numFmtId="0" fontId="0" fillId="2" borderId="0" xfId="0" applyFill="1"/>
    <xf numFmtId="0" fontId="6" fillId="0" borderId="0" xfId="0" applyFont="1" applyAlignment="1">
      <alignment vertical="center"/>
    </xf>
    <xf numFmtId="164" fontId="0" fillId="0" borderId="0" xfId="0" applyNumberFormat="1" applyAlignment="1">
      <alignment horizontal="center"/>
    </xf>
    <xf numFmtId="0" fontId="0" fillId="4" borderId="1" xfId="0" applyFill="1" applyBorder="1" applyAlignment="1">
      <alignment vertical="center"/>
    </xf>
    <xf numFmtId="0" fontId="0" fillId="0" borderId="2" xfId="0" applyBorder="1" applyAlignment="1">
      <alignment horizontal="right" vertical="center"/>
    </xf>
    <xf numFmtId="0" fontId="0" fillId="4" borderId="3" xfId="0" applyFill="1" applyBorder="1" applyAlignment="1">
      <alignment vertical="center"/>
    </xf>
    <xf numFmtId="0" fontId="0" fillId="0" borderId="3" xfId="0" applyBorder="1" applyAlignment="1">
      <alignment vertical="center"/>
    </xf>
    <xf numFmtId="0" fontId="0" fillId="0" borderId="3" xfId="0" applyBorder="1" applyAlignment="1" applyProtection="1">
      <alignment vertical="center"/>
      <protection locked="0"/>
    </xf>
    <xf numFmtId="0" fontId="0" fillId="0" borderId="4" xfId="0" applyBorder="1" applyAlignment="1" applyProtection="1">
      <alignment vertical="center"/>
      <protection locked="0"/>
    </xf>
    <xf numFmtId="0" fontId="0" fillId="0" borderId="5" xfId="0" applyBorder="1" applyAlignment="1">
      <alignment horizontal="right" vertical="center"/>
    </xf>
    <xf numFmtId="0" fontId="0" fillId="0" borderId="1" xfId="0" applyBorder="1" applyAlignment="1">
      <alignment vertical="center"/>
    </xf>
    <xf numFmtId="0" fontId="0" fillId="0" borderId="1" xfId="0" applyBorder="1" applyAlignment="1" applyProtection="1">
      <alignment vertical="center"/>
      <protection locked="0"/>
    </xf>
    <xf numFmtId="0" fontId="0" fillId="0" borderId="6" xfId="0" applyBorder="1" applyAlignment="1" applyProtection="1">
      <alignment vertical="center"/>
      <protection locked="0"/>
    </xf>
    <xf numFmtId="0" fontId="0" fillId="0" borderId="7" xfId="0" applyBorder="1" applyAlignment="1">
      <alignment horizontal="right" vertical="center"/>
    </xf>
    <xf numFmtId="0" fontId="0" fillId="4" borderId="8" xfId="0" applyFill="1" applyBorder="1" applyAlignment="1">
      <alignment vertical="center"/>
    </xf>
    <xf numFmtId="0" fontId="0" fillId="0" borderId="8" xfId="0" applyBorder="1" applyAlignment="1">
      <alignment vertical="center"/>
    </xf>
    <xf numFmtId="0" fontId="0" fillId="0" borderId="8" xfId="0" applyBorder="1" applyAlignment="1" applyProtection="1">
      <alignment vertical="center"/>
      <protection locked="0"/>
    </xf>
    <xf numFmtId="0" fontId="0" fillId="0" borderId="9" xfId="0" applyBorder="1" applyAlignment="1" applyProtection="1">
      <alignment vertical="center"/>
      <protection locked="0"/>
    </xf>
    <xf numFmtId="0" fontId="0" fillId="0" borderId="0" xfId="0" applyAlignment="1">
      <alignment horizontal="right" vertical="center"/>
    </xf>
    <xf numFmtId="0" fontId="0" fillId="0" borderId="0" xfId="0" applyAlignment="1">
      <alignment vertical="center"/>
    </xf>
    <xf numFmtId="3" fontId="0" fillId="0" borderId="0" xfId="0" applyNumberFormat="1" applyAlignment="1">
      <alignment vertical="center"/>
    </xf>
    <xf numFmtId="3" fontId="0" fillId="5" borderId="8" xfId="0" applyNumberFormat="1" applyFill="1" applyBorder="1" applyAlignment="1">
      <alignment vertical="center"/>
    </xf>
    <xf numFmtId="164" fontId="0" fillId="0" borderId="0" xfId="0" applyNumberFormat="1"/>
    <xf numFmtId="0" fontId="0" fillId="0" borderId="0" xfId="0" applyAlignment="1">
      <alignment wrapText="1"/>
    </xf>
    <xf numFmtId="3" fontId="0" fillId="8" borderId="1" xfId="0" applyNumberFormat="1" applyFill="1" applyBorder="1" applyAlignment="1">
      <alignment vertical="center"/>
    </xf>
    <xf numFmtId="0" fontId="0" fillId="8" borderId="0" xfId="0" applyFill="1" applyAlignment="1">
      <alignment vertical="center"/>
    </xf>
    <xf numFmtId="49" fontId="0" fillId="0" borderId="0" xfId="0" applyNumberFormat="1" applyAlignment="1">
      <alignment horizontal="center"/>
    </xf>
    <xf numFmtId="3" fontId="0" fillId="0" borderId="1" xfId="0" applyNumberFormat="1" applyBorder="1" applyAlignment="1">
      <alignment vertical="center"/>
    </xf>
    <xf numFmtId="3" fontId="0" fillId="0" borderId="8" xfId="0" applyNumberFormat="1" applyBorder="1" applyAlignment="1">
      <alignment vertical="center"/>
    </xf>
    <xf numFmtId="0" fontId="0" fillId="8" borderId="0" xfId="0" applyFill="1"/>
    <xf numFmtId="0" fontId="0" fillId="0" borderId="0" xfId="0" applyAlignment="1">
      <alignment horizontal="right"/>
    </xf>
    <xf numFmtId="164" fontId="0" fillId="0" borderId="0" xfId="0" applyNumberFormat="1" applyAlignment="1">
      <alignment horizontal="right"/>
    </xf>
    <xf numFmtId="0" fontId="0" fillId="9" borderId="0" xfId="0" applyFill="1"/>
    <xf numFmtId="14" fontId="0" fillId="8" borderId="0" xfId="0" applyNumberFormat="1" applyFill="1"/>
    <xf numFmtId="0" fontId="0" fillId="8" borderId="6" xfId="0" applyFill="1" applyBorder="1" applyAlignment="1" applyProtection="1">
      <alignment vertical="center"/>
      <protection locked="0"/>
    </xf>
    <xf numFmtId="0" fontId="5" fillId="0" borderId="0" xfId="1" applyAlignment="1" applyProtection="1">
      <alignment horizontal="center" vertical="center"/>
    </xf>
    <xf numFmtId="0" fontId="0" fillId="8" borderId="4" xfId="0" applyFill="1" applyBorder="1" applyAlignment="1" applyProtection="1">
      <alignment vertical="center"/>
      <protection locked="0"/>
    </xf>
    <xf numFmtId="3" fontId="0" fillId="0" borderId="0" xfId="0" applyNumberFormat="1"/>
    <xf numFmtId="0" fontId="13" fillId="0" borderId="0" xfId="0" applyFont="1" applyAlignment="1">
      <alignment vertical="center"/>
    </xf>
    <xf numFmtId="0" fontId="15" fillId="0" borderId="0" xfId="0" applyFont="1" applyAlignment="1">
      <alignment vertical="center"/>
    </xf>
    <xf numFmtId="0" fontId="17" fillId="0" borderId="0" xfId="0" applyFont="1" applyAlignment="1">
      <alignment vertical="center"/>
    </xf>
    <xf numFmtId="0" fontId="18" fillId="0" borderId="0" xfId="0" applyFont="1" applyAlignment="1">
      <alignment vertical="center"/>
    </xf>
    <xf numFmtId="0" fontId="14" fillId="0" borderId="0" xfId="0" applyFont="1"/>
    <xf numFmtId="0" fontId="16" fillId="0" borderId="0" xfId="0" applyFont="1" applyAlignment="1">
      <alignment vertical="center"/>
    </xf>
    <xf numFmtId="0" fontId="16" fillId="0" borderId="0" xfId="0" applyFont="1"/>
    <xf numFmtId="49" fontId="16" fillId="0" borderId="0" xfId="0" applyNumberFormat="1" applyFont="1" applyAlignment="1">
      <alignment vertical="center"/>
    </xf>
    <xf numFmtId="0" fontId="4" fillId="0" borderId="0" xfId="0" applyFont="1" applyAlignment="1">
      <alignment vertical="center"/>
    </xf>
    <xf numFmtId="0" fontId="51" fillId="0" borderId="0" xfId="0" applyFont="1" applyAlignment="1">
      <alignment vertical="center"/>
    </xf>
    <xf numFmtId="1" fontId="13" fillId="0" borderId="0" xfId="0" applyNumberFormat="1" applyFont="1" applyAlignment="1">
      <alignment vertical="center"/>
    </xf>
    <xf numFmtId="0" fontId="52" fillId="0" borderId="0" xfId="0" applyFont="1" applyAlignment="1">
      <alignment vertical="center"/>
    </xf>
    <xf numFmtId="0" fontId="53" fillId="0" borderId="0" xfId="0" applyFont="1" applyAlignment="1">
      <alignment vertical="center"/>
    </xf>
    <xf numFmtId="0" fontId="54" fillId="0" borderId="0" xfId="0" applyFont="1"/>
    <xf numFmtId="0" fontId="55" fillId="0" borderId="0" xfId="0" applyFont="1"/>
    <xf numFmtId="0" fontId="55" fillId="0" borderId="0" xfId="0" applyFont="1" applyAlignment="1">
      <alignment vertical="center"/>
    </xf>
    <xf numFmtId="0" fontId="14" fillId="6" borderId="12" xfId="0" applyFont="1" applyFill="1" applyBorder="1" applyAlignment="1">
      <alignment horizontal="center" vertical="center" wrapText="1"/>
    </xf>
    <xf numFmtId="49" fontId="59" fillId="6" borderId="12" xfId="0" applyNumberFormat="1" applyFont="1" applyFill="1" applyBorder="1" applyAlignment="1">
      <alignment horizontal="center" vertical="center" wrapText="1"/>
    </xf>
    <xf numFmtId="49" fontId="59" fillId="6" borderId="12" xfId="0" applyNumberFormat="1" applyFont="1" applyFill="1" applyBorder="1" applyAlignment="1">
      <alignment horizontal="center" vertical="center"/>
    </xf>
    <xf numFmtId="3" fontId="14" fillId="6" borderId="12" xfId="0" applyNumberFormat="1" applyFont="1" applyFill="1" applyBorder="1" applyAlignment="1">
      <alignment horizontal="center" vertical="center"/>
    </xf>
    <xf numFmtId="49" fontId="59" fillId="6" borderId="12" xfId="0" applyNumberFormat="1" applyFont="1" applyFill="1" applyBorder="1" applyAlignment="1">
      <alignment horizontal="left" vertical="top" wrapText="1"/>
    </xf>
    <xf numFmtId="0" fontId="14" fillId="6" borderId="61" xfId="14" applyFont="1" applyFill="1" applyBorder="1" applyAlignment="1">
      <alignment horizontal="center" vertical="center" shrinkToFit="1"/>
    </xf>
    <xf numFmtId="0" fontId="67" fillId="37" borderId="23" xfId="0" applyFont="1" applyFill="1" applyBorder="1" applyAlignment="1">
      <alignment horizontal="center" vertical="center" wrapText="1"/>
    </xf>
    <xf numFmtId="0" fontId="67" fillId="37" borderId="35" xfId="0" applyFont="1" applyFill="1" applyBorder="1" applyAlignment="1">
      <alignment horizontal="center" vertical="center" wrapText="1"/>
    </xf>
    <xf numFmtId="0" fontId="68" fillId="38" borderId="35" xfId="0" applyFont="1" applyFill="1" applyBorder="1" applyAlignment="1">
      <alignment horizontal="center" vertical="center" wrapText="1"/>
    </xf>
    <xf numFmtId="0" fontId="68" fillId="38" borderId="37" xfId="0" applyFont="1" applyFill="1" applyBorder="1" applyAlignment="1">
      <alignment horizontal="center" vertical="center"/>
    </xf>
    <xf numFmtId="0" fontId="69" fillId="39" borderId="23" xfId="0" applyFont="1" applyFill="1" applyBorder="1" applyAlignment="1">
      <alignment horizontal="center" vertical="top"/>
    </xf>
    <xf numFmtId="0" fontId="67" fillId="39" borderId="23" xfId="0" applyFont="1" applyFill="1" applyBorder="1" applyAlignment="1">
      <alignment horizontal="left" vertical="top" wrapText="1"/>
    </xf>
    <xf numFmtId="1" fontId="69" fillId="39" borderId="23" xfId="0" applyNumberFormat="1" applyFont="1" applyFill="1" applyBorder="1" applyAlignment="1">
      <alignment horizontal="center" vertical="top"/>
    </xf>
    <xf numFmtId="3" fontId="69" fillId="39" borderId="23" xfId="0" applyNumberFormat="1" applyFont="1" applyFill="1" applyBorder="1"/>
    <xf numFmtId="3" fontId="67" fillId="39" borderId="23" xfId="0" applyNumberFormat="1" applyFont="1" applyFill="1" applyBorder="1" applyAlignment="1">
      <alignment horizontal="right" vertical="center"/>
    </xf>
    <xf numFmtId="0" fontId="71" fillId="0" borderId="23" xfId="0" applyFont="1" applyBorder="1" applyAlignment="1">
      <alignment horizontal="right" vertical="top"/>
    </xf>
    <xf numFmtId="0" fontId="72" fillId="36" borderId="23" xfId="0" applyFont="1" applyFill="1" applyBorder="1" applyAlignment="1">
      <alignment vertical="top" wrapText="1"/>
    </xf>
    <xf numFmtId="0" fontId="69" fillId="0" borderId="23" xfId="0" applyFont="1" applyBorder="1" applyAlignment="1">
      <alignment horizontal="center" vertical="top"/>
    </xf>
    <xf numFmtId="1" fontId="69" fillId="0" borderId="23" xfId="0" applyNumberFormat="1" applyFont="1" applyBorder="1" applyAlignment="1">
      <alignment horizontal="center" vertical="center"/>
    </xf>
    <xf numFmtId="3" fontId="69" fillId="0" borderId="23" xfId="0" applyNumberFormat="1" applyFont="1" applyBorder="1" applyAlignment="1">
      <alignment vertical="center"/>
    </xf>
    <xf numFmtId="0" fontId="69" fillId="36" borderId="23" xfId="0" applyFont="1" applyFill="1" applyBorder="1" applyAlignment="1">
      <alignment vertical="top" wrapText="1"/>
    </xf>
    <xf numFmtId="1" fontId="69" fillId="0" borderId="23" xfId="0" applyNumberFormat="1" applyFont="1" applyBorder="1" applyAlignment="1">
      <alignment horizontal="right" vertical="center"/>
    </xf>
    <xf numFmtId="0" fontId="71" fillId="39" borderId="23" xfId="0" applyFont="1" applyFill="1" applyBorder="1" applyAlignment="1">
      <alignment horizontal="right" vertical="top"/>
    </xf>
    <xf numFmtId="1" fontId="69" fillId="39" borderId="23" xfId="0" applyNumberFormat="1" applyFont="1" applyFill="1" applyBorder="1" applyAlignment="1">
      <alignment horizontal="center" vertical="center"/>
    </xf>
    <xf numFmtId="3" fontId="69" fillId="39" borderId="23" xfId="0" applyNumberFormat="1" applyFont="1" applyFill="1" applyBorder="1" applyAlignment="1">
      <alignment vertical="center"/>
    </xf>
    <xf numFmtId="3" fontId="67" fillId="39" borderId="23" xfId="0" applyNumberFormat="1" applyFont="1" applyFill="1" applyBorder="1" applyAlignment="1">
      <alignment vertical="center"/>
    </xf>
    <xf numFmtId="0" fontId="74" fillId="0" borderId="0" xfId="0" applyFont="1"/>
    <xf numFmtId="0" fontId="69" fillId="0" borderId="23" xfId="0" applyFont="1" applyBorder="1" applyAlignment="1">
      <alignment horizontal="center" vertical="center"/>
    </xf>
    <xf numFmtId="0" fontId="72" fillId="35" borderId="23" xfId="0" applyFont="1" applyFill="1" applyBorder="1" applyAlignment="1">
      <alignment vertical="top" wrapText="1"/>
    </xf>
    <xf numFmtId="3" fontId="69" fillId="0" borderId="23" xfId="0" applyNumberFormat="1" applyFont="1" applyBorder="1" applyAlignment="1">
      <alignment horizontal="right" vertical="center"/>
    </xf>
    <xf numFmtId="0" fontId="69" fillId="37" borderId="23" xfId="0" applyFont="1" applyFill="1" applyBorder="1" applyAlignment="1">
      <alignment horizontal="center" vertical="top"/>
    </xf>
    <xf numFmtId="0" fontId="67" fillId="37" borderId="23" xfId="0" applyFont="1" applyFill="1" applyBorder="1" applyAlignment="1">
      <alignment horizontal="left" vertical="top" wrapText="1"/>
    </xf>
    <xf numFmtId="1" fontId="69" fillId="37" borderId="23" xfId="0" applyNumberFormat="1" applyFont="1" applyFill="1" applyBorder="1" applyAlignment="1">
      <alignment horizontal="center" vertical="top"/>
    </xf>
    <xf numFmtId="4" fontId="69" fillId="37" borderId="23" xfId="0" applyNumberFormat="1" applyFont="1" applyFill="1" applyBorder="1"/>
    <xf numFmtId="3" fontId="67" fillId="37" borderId="23" xfId="0" applyNumberFormat="1" applyFont="1" applyFill="1" applyBorder="1"/>
    <xf numFmtId="0" fontId="20" fillId="0" borderId="12" xfId="2" applyFont="1" applyBorder="1" applyAlignment="1">
      <alignment horizontal="center" vertical="center" textRotation="90" wrapText="1"/>
    </xf>
    <xf numFmtId="0" fontId="20" fillId="0" borderId="50" xfId="2" applyFont="1" applyBorder="1" applyAlignment="1">
      <alignment horizontal="center" vertical="center" wrapText="1"/>
    </xf>
    <xf numFmtId="1" fontId="20" fillId="0" borderId="12" xfId="2" applyNumberFormat="1" applyFont="1" applyBorder="1" applyAlignment="1">
      <alignment horizontal="center" vertical="center" textRotation="90" wrapText="1"/>
    </xf>
    <xf numFmtId="0" fontId="20" fillId="0" borderId="12" xfId="2" applyFont="1" applyBorder="1" applyAlignment="1">
      <alignment vertical="center" wrapText="1"/>
    </xf>
    <xf numFmtId="0" fontId="66" fillId="40" borderId="50" xfId="2" applyFont="1" applyFill="1" applyBorder="1" applyAlignment="1">
      <alignment horizontal="left" vertical="center" wrapText="1"/>
    </xf>
    <xf numFmtId="0" fontId="20" fillId="0" borderId="12" xfId="2" applyFont="1" applyBorder="1"/>
    <xf numFmtId="0" fontId="75" fillId="0" borderId="12" xfId="2" applyFont="1" applyBorder="1" applyAlignment="1">
      <alignment horizontal="right" vertical="top"/>
    </xf>
    <xf numFmtId="0" fontId="20" fillId="6" borderId="50" xfId="2" applyFont="1" applyFill="1" applyBorder="1" applyAlignment="1">
      <alignment horizontal="left" vertical="center" wrapText="1"/>
    </xf>
    <xf numFmtId="0" fontId="20" fillId="0" borderId="50" xfId="2" applyFont="1" applyBorder="1" applyAlignment="1">
      <alignment horizontal="left" vertical="center" wrapText="1"/>
    </xf>
    <xf numFmtId="0" fontId="66" fillId="41" borderId="50" xfId="2" applyFont="1" applyFill="1" applyBorder="1" applyAlignment="1">
      <alignment horizontal="left" vertical="center" wrapText="1"/>
    </xf>
    <xf numFmtId="0" fontId="16" fillId="0" borderId="50" xfId="2" applyFont="1" applyBorder="1" applyAlignment="1">
      <alignment horizontal="left" vertical="center" wrapText="1"/>
    </xf>
    <xf numFmtId="0" fontId="16" fillId="6" borderId="50" xfId="2" applyFont="1" applyFill="1" applyBorder="1" applyAlignment="1">
      <alignment horizontal="left" vertical="center" wrapText="1"/>
    </xf>
    <xf numFmtId="0" fontId="16" fillId="0" borderId="12" xfId="2" applyFont="1" applyBorder="1" applyAlignment="1">
      <alignment horizontal="left" vertical="center" wrapText="1"/>
    </xf>
    <xf numFmtId="0" fontId="16" fillId="6" borderId="12" xfId="2" applyFont="1" applyFill="1" applyBorder="1" applyAlignment="1">
      <alignment horizontal="left" vertical="center" wrapText="1"/>
    </xf>
    <xf numFmtId="0" fontId="76" fillId="6" borderId="12" xfId="0" applyFont="1" applyFill="1" applyBorder="1" applyAlignment="1">
      <alignment horizontal="left" vertical="center"/>
    </xf>
    <xf numFmtId="0" fontId="19" fillId="41" borderId="50" xfId="2" applyFont="1" applyFill="1" applyBorder="1" applyAlignment="1">
      <alignment horizontal="left" vertical="center" wrapText="1"/>
    </xf>
    <xf numFmtId="0" fontId="75" fillId="7" borderId="12" xfId="2" applyFont="1" applyFill="1" applyBorder="1" applyAlignment="1">
      <alignment horizontal="right" vertical="top"/>
    </xf>
    <xf numFmtId="0" fontId="77" fillId="0" borderId="12" xfId="2" applyFont="1" applyBorder="1" applyAlignment="1">
      <alignment horizontal="center" vertical="center"/>
    </xf>
    <xf numFmtId="0" fontId="78" fillId="0" borderId="12" xfId="2" applyFont="1" applyBorder="1" applyAlignment="1">
      <alignment horizontal="left" vertical="center" wrapText="1"/>
    </xf>
    <xf numFmtId="3" fontId="79" fillId="42" borderId="12" xfId="2" applyNumberFormat="1" applyFont="1" applyFill="1" applyBorder="1" applyAlignment="1">
      <alignment vertical="center" shrinkToFit="1"/>
    </xf>
    <xf numFmtId="3" fontId="78" fillId="0" borderId="12" xfId="2" applyNumberFormat="1" applyFont="1" applyBorder="1" applyAlignment="1">
      <alignment vertical="center" shrinkToFit="1"/>
    </xf>
    <xf numFmtId="0" fontId="78" fillId="0" borderId="12" xfId="2" applyFont="1" applyBorder="1" applyAlignment="1">
      <alignment vertical="center" wrapText="1"/>
    </xf>
    <xf numFmtId="0" fontId="78" fillId="6" borderId="12" xfId="2" applyFont="1" applyFill="1" applyBorder="1" applyAlignment="1">
      <alignment horizontal="left" vertical="center" wrapText="1"/>
    </xf>
    <xf numFmtId="0" fontId="78" fillId="6" borderId="12" xfId="2" applyFont="1" applyFill="1" applyBorder="1" applyAlignment="1">
      <alignment vertical="center" wrapText="1"/>
    </xf>
    <xf numFmtId="0" fontId="78" fillId="0" borderId="12" xfId="2" applyFont="1" applyBorder="1" applyAlignment="1">
      <alignment vertical="center"/>
    </xf>
    <xf numFmtId="0" fontId="77" fillId="0" borderId="12" xfId="2" applyFont="1" applyBorder="1" applyAlignment="1">
      <alignment vertical="top"/>
    </xf>
    <xf numFmtId="0" fontId="58" fillId="43" borderId="12" xfId="0" applyFont="1" applyFill="1" applyBorder="1" applyAlignment="1">
      <alignment vertical="center"/>
    </xf>
    <xf numFmtId="0" fontId="16" fillId="0" borderId="12" xfId="0" applyFont="1" applyBorder="1" applyAlignment="1">
      <alignment vertical="center"/>
    </xf>
    <xf numFmtId="0" fontId="16" fillId="44" borderId="12" xfId="0" applyFont="1" applyFill="1" applyBorder="1" applyAlignment="1">
      <alignment vertical="center"/>
    </xf>
    <xf numFmtId="0" fontId="14" fillId="44" borderId="12" xfId="0" applyFont="1" applyFill="1" applyBorder="1" applyAlignment="1">
      <alignment horizontal="center" vertical="center"/>
    </xf>
    <xf numFmtId="3" fontId="79" fillId="44" borderId="12" xfId="2" applyNumberFormat="1" applyFont="1" applyFill="1" applyBorder="1" applyAlignment="1">
      <alignment vertical="center" shrinkToFit="1"/>
    </xf>
    <xf numFmtId="3" fontId="78" fillId="44" borderId="12" xfId="2" applyNumberFormat="1" applyFont="1" applyFill="1" applyBorder="1" applyAlignment="1">
      <alignment vertical="center" shrinkToFit="1"/>
    </xf>
    <xf numFmtId="0" fontId="16" fillId="6" borderId="12" xfId="0" applyFont="1" applyFill="1" applyBorder="1" applyAlignment="1">
      <alignment vertical="center" wrapText="1"/>
    </xf>
    <xf numFmtId="3" fontId="16" fillId="6" borderId="12" xfId="0" applyNumberFormat="1" applyFont="1" applyFill="1" applyBorder="1" applyAlignment="1">
      <alignment vertical="center"/>
    </xf>
    <xf numFmtId="3" fontId="20" fillId="0" borderId="12" xfId="2" applyNumberFormat="1" applyFont="1" applyBorder="1" applyAlignment="1">
      <alignment vertical="center"/>
    </xf>
    <xf numFmtId="0" fontId="20" fillId="0" borderId="0" xfId="2" applyFont="1"/>
    <xf numFmtId="0" fontId="20" fillId="0" borderId="0" xfId="2" applyFont="1" applyAlignment="1">
      <alignment vertical="center"/>
    </xf>
    <xf numFmtId="2" fontId="20" fillId="0" borderId="0" xfId="2" applyNumberFormat="1" applyFont="1"/>
    <xf numFmtId="1" fontId="20" fillId="0" borderId="12" xfId="2" applyNumberFormat="1" applyFont="1" applyBorder="1" applyAlignment="1">
      <alignment horizontal="center" vertical="center"/>
    </xf>
    <xf numFmtId="0" fontId="14" fillId="6" borderId="12" xfId="0" applyFont="1" applyFill="1" applyBorder="1" applyAlignment="1">
      <alignment horizontal="center" vertical="center"/>
    </xf>
    <xf numFmtId="0" fontId="58" fillId="7" borderId="12" xfId="0" applyFont="1" applyFill="1" applyBorder="1" applyAlignment="1">
      <alignment horizontal="center" vertical="center"/>
    </xf>
    <xf numFmtId="1" fontId="78" fillId="6" borderId="12" xfId="2" applyNumberFormat="1" applyFont="1" applyFill="1" applyBorder="1" applyAlignment="1">
      <alignment horizontal="center" vertical="center" shrinkToFit="1"/>
    </xf>
    <xf numFmtId="0" fontId="16" fillId="6" borderId="12" xfId="0" applyFont="1" applyFill="1" applyBorder="1" applyAlignment="1">
      <alignment horizontal="center" vertical="center"/>
    </xf>
    <xf numFmtId="0" fontId="80" fillId="0" borderId="0" xfId="0" applyFont="1" applyAlignment="1">
      <alignment vertical="center"/>
    </xf>
    <xf numFmtId="0" fontId="60" fillId="0" borderId="0" xfId="0" applyFont="1"/>
    <xf numFmtId="0" fontId="14" fillId="0" borderId="12" xfId="0" applyFont="1" applyBorder="1" applyAlignment="1" applyProtection="1">
      <alignment horizontal="center" vertical="center" wrapText="1"/>
      <protection locked="0"/>
    </xf>
    <xf numFmtId="0" fontId="14" fillId="6" borderId="12" xfId="0" applyFont="1" applyFill="1" applyBorder="1" applyAlignment="1">
      <alignment horizontal="left" vertical="center" wrapText="1"/>
    </xf>
    <xf numFmtId="3" fontId="88" fillId="6" borderId="12" xfId="0" applyNumberFormat="1" applyFont="1" applyFill="1" applyBorder="1" applyAlignment="1">
      <alignment horizontal="center" vertical="center" shrinkToFit="1"/>
    </xf>
    <xf numFmtId="0" fontId="14" fillId="0" borderId="12" xfId="0" applyFont="1" applyBorder="1" applyAlignment="1">
      <alignment horizontal="center" vertical="center"/>
    </xf>
    <xf numFmtId="0" fontId="14" fillId="0" borderId="12" xfId="0" applyFont="1" applyBorder="1" applyAlignment="1">
      <alignment horizontal="center" vertical="center" wrapText="1"/>
    </xf>
    <xf numFmtId="0" fontId="14" fillId="0" borderId="23" xfId="0" applyFont="1" applyBorder="1" applyAlignment="1">
      <alignment horizontal="center" vertical="center"/>
    </xf>
    <xf numFmtId="0" fontId="14" fillId="0" borderId="23" xfId="0" applyFont="1" applyBorder="1" applyAlignment="1">
      <alignment horizontal="center" vertical="center" wrapText="1"/>
    </xf>
    <xf numFmtId="0" fontId="14" fillId="0" borderId="60" xfId="0" applyFont="1" applyBorder="1" applyAlignment="1">
      <alignment horizontal="center" vertical="center" wrapText="1"/>
    </xf>
    <xf numFmtId="0" fontId="14" fillId="6" borderId="49" xfId="0" applyFont="1" applyFill="1" applyBorder="1" applyAlignment="1">
      <alignment horizontal="center" vertical="center" shrinkToFit="1"/>
    </xf>
    <xf numFmtId="0" fontId="59" fillId="6" borderId="12" xfId="26" applyFont="1" applyFill="1" applyBorder="1" applyAlignment="1">
      <alignment horizontal="center" vertical="center" shrinkToFit="1"/>
    </xf>
    <xf numFmtId="3" fontId="62" fillId="6" borderId="12" xfId="0" applyNumberFormat="1" applyFont="1" applyFill="1" applyBorder="1" applyAlignment="1">
      <alignment horizontal="center" vertical="center" wrapText="1"/>
    </xf>
    <xf numFmtId="49" fontId="59" fillId="6" borderId="66" xfId="0" applyNumberFormat="1" applyFont="1" applyFill="1" applyBorder="1" applyAlignment="1">
      <alignment horizontal="center" vertical="center" wrapText="1"/>
    </xf>
    <xf numFmtId="0" fontId="14" fillId="0" borderId="60" xfId="0" applyFont="1" applyBorder="1" applyAlignment="1">
      <alignment horizontal="center" vertical="center"/>
    </xf>
    <xf numFmtId="0" fontId="58" fillId="6" borderId="12" xfId="0" applyFont="1" applyFill="1" applyBorder="1" applyAlignment="1" applyProtection="1">
      <alignment horizontal="center" vertical="center" wrapText="1"/>
      <protection locked="0"/>
    </xf>
    <xf numFmtId="0" fontId="14" fillId="6" borderId="12" xfId="0" applyFont="1" applyFill="1" applyBorder="1" applyAlignment="1" applyProtection="1">
      <alignment horizontal="center" vertical="center" wrapText="1"/>
      <protection locked="0"/>
    </xf>
    <xf numFmtId="3" fontId="58" fillId="6" borderId="12" xfId="0" applyNumberFormat="1" applyFont="1" applyFill="1" applyBorder="1" applyAlignment="1">
      <alignment horizontal="center" vertical="center"/>
    </xf>
    <xf numFmtId="3" fontId="58" fillId="6" borderId="60" xfId="0" applyNumberFormat="1" applyFont="1" applyFill="1" applyBorder="1" applyAlignment="1">
      <alignment horizontal="center" vertical="center"/>
    </xf>
    <xf numFmtId="3" fontId="58" fillId="6" borderId="23" xfId="0" applyNumberFormat="1" applyFont="1" applyFill="1" applyBorder="1" applyAlignment="1">
      <alignment horizontal="center" vertical="center"/>
    </xf>
    <xf numFmtId="49" fontId="59" fillId="6" borderId="66" xfId="0" applyNumberFormat="1" applyFont="1" applyFill="1" applyBorder="1" applyAlignment="1">
      <alignment horizontal="left" vertical="top" wrapText="1"/>
    </xf>
    <xf numFmtId="3" fontId="87" fillId="6" borderId="12" xfId="129" applyNumberFormat="1" applyFont="1" applyFill="1" applyBorder="1" applyAlignment="1" applyProtection="1">
      <alignment horizontal="center" vertical="center"/>
      <protection locked="0"/>
    </xf>
    <xf numFmtId="0" fontId="89" fillId="0" borderId="1" xfId="0" applyFont="1" applyBorder="1" applyAlignment="1">
      <alignment horizontal="center" vertical="center" shrinkToFit="1"/>
    </xf>
    <xf numFmtId="0" fontId="84" fillId="0" borderId="1" xfId="0" applyFont="1" applyBorder="1" applyAlignment="1">
      <alignment horizontal="center" vertical="center" shrinkToFit="1"/>
    </xf>
    <xf numFmtId="0" fontId="14" fillId="34" borderId="53" xfId="129" applyFont="1" applyFill="1" applyBorder="1" applyAlignment="1">
      <alignment horizontal="center" vertical="center" wrapText="1"/>
    </xf>
    <xf numFmtId="0" fontId="14" fillId="6" borderId="49" xfId="0" applyFont="1" applyFill="1" applyBorder="1" applyAlignment="1" applyProtection="1">
      <alignment horizontal="center" vertical="center" wrapText="1"/>
      <protection locked="0"/>
    </xf>
    <xf numFmtId="3" fontId="84" fillId="6" borderId="12" xfId="0" applyNumberFormat="1" applyFont="1" applyFill="1" applyBorder="1" applyAlignment="1">
      <alignment horizontal="center" vertical="center" shrinkToFit="1"/>
    </xf>
    <xf numFmtId="0" fontId="14" fillId="6" borderId="58" xfId="0" applyFont="1" applyFill="1" applyBorder="1" applyAlignment="1" applyProtection="1">
      <alignment horizontal="center" vertical="center" wrapText="1"/>
      <protection locked="0"/>
    </xf>
    <xf numFmtId="3" fontId="84" fillId="7" borderId="12" xfId="0" applyNumberFormat="1" applyFont="1" applyFill="1" applyBorder="1" applyAlignment="1">
      <alignment horizontal="center" vertical="center" shrinkToFit="1"/>
    </xf>
    <xf numFmtId="0" fontId="14" fillId="0" borderId="12" xfId="0" applyFont="1" applyBorder="1" applyAlignment="1">
      <alignment horizontal="center" vertical="center" shrinkToFit="1"/>
    </xf>
    <xf numFmtId="3" fontId="84" fillId="0" borderId="12" xfId="0" applyNumberFormat="1" applyFont="1" applyBorder="1" applyAlignment="1">
      <alignment horizontal="center" vertical="center" shrinkToFit="1"/>
    </xf>
    <xf numFmtId="0" fontId="14" fillId="0" borderId="12" xfId="0" applyFont="1" applyBorder="1" applyAlignment="1">
      <alignment horizontal="left" vertical="top" wrapText="1"/>
    </xf>
    <xf numFmtId="0" fontId="14" fillId="6" borderId="12" xfId="0" applyFont="1" applyFill="1" applyBorder="1" applyAlignment="1">
      <alignment horizontal="center" vertical="center" shrinkToFit="1"/>
    </xf>
    <xf numFmtId="0" fontId="14" fillId="6" borderId="71" xfId="0" applyFont="1" applyFill="1" applyBorder="1" applyAlignment="1">
      <alignment horizontal="center" vertical="center" wrapText="1"/>
    </xf>
    <xf numFmtId="0" fontId="14" fillId="6" borderId="12" xfId="0" applyFont="1" applyFill="1" applyBorder="1" applyAlignment="1">
      <alignment vertical="top" wrapText="1"/>
    </xf>
    <xf numFmtId="0" fontId="14" fillId="0" borderId="1" xfId="0" applyFont="1" applyBorder="1" applyAlignment="1" applyProtection="1">
      <alignment horizontal="center" vertical="center" shrinkToFit="1"/>
      <protection locked="0"/>
    </xf>
    <xf numFmtId="0" fontId="14" fillId="0" borderId="1" xfId="0" applyFont="1" applyBorder="1" applyAlignment="1">
      <alignment horizontal="center" vertical="center" shrinkToFit="1"/>
    </xf>
    <xf numFmtId="3" fontId="58" fillId="0" borderId="23" xfId="0" applyNumberFormat="1" applyFont="1" applyBorder="1" applyAlignment="1">
      <alignment horizontal="center" vertical="center"/>
    </xf>
    <xf numFmtId="0" fontId="14" fillId="6" borderId="1" xfId="0" applyFont="1" applyFill="1" applyBorder="1" applyAlignment="1">
      <alignment horizontal="center" vertical="center" shrinkToFit="1"/>
    </xf>
    <xf numFmtId="0" fontId="14" fillId="34" borderId="53" xfId="129" applyFont="1" applyFill="1" applyBorder="1" applyAlignment="1">
      <alignment horizontal="left" vertical="top" wrapText="1"/>
    </xf>
    <xf numFmtId="49" fontId="64" fillId="6" borderId="54" xfId="0" applyNumberFormat="1" applyFont="1" applyFill="1" applyBorder="1" applyAlignment="1">
      <alignment horizontal="center" vertical="center" wrapText="1"/>
    </xf>
    <xf numFmtId="49" fontId="64" fillId="36" borderId="23" xfId="0" applyNumberFormat="1" applyFont="1" applyFill="1" applyBorder="1" applyAlignment="1">
      <alignment horizontal="center" vertical="center" wrapText="1"/>
    </xf>
    <xf numFmtId="3" fontId="58" fillId="6" borderId="12" xfId="0" applyNumberFormat="1" applyFont="1" applyFill="1" applyBorder="1" applyAlignment="1">
      <alignment horizontal="center" vertical="center" shrinkToFit="1"/>
    </xf>
    <xf numFmtId="3" fontId="62" fillId="6" borderId="12" xfId="0" applyNumberFormat="1" applyFont="1" applyFill="1" applyBorder="1" applyAlignment="1">
      <alignment horizontal="center" vertical="center"/>
    </xf>
    <xf numFmtId="0" fontId="58" fillId="0" borderId="12" xfId="0" applyFont="1" applyBorder="1" applyAlignment="1">
      <alignment horizontal="center" vertical="center" wrapText="1"/>
    </xf>
    <xf numFmtId="0" fontId="14" fillId="0" borderId="23" xfId="0" applyFont="1" applyBorder="1" applyAlignment="1">
      <alignment vertical="top" wrapText="1"/>
    </xf>
    <xf numFmtId="3" fontId="14" fillId="6" borderId="72" xfId="0" applyNumberFormat="1" applyFont="1" applyFill="1" applyBorder="1" applyAlignment="1">
      <alignment horizontal="center" vertical="center"/>
    </xf>
    <xf numFmtId="0" fontId="14" fillId="6" borderId="11" xfId="0" applyFont="1" applyFill="1" applyBorder="1" applyAlignment="1">
      <alignment vertical="top" wrapText="1"/>
    </xf>
    <xf numFmtId="0" fontId="14" fillId="6" borderId="41" xfId="0" applyFont="1" applyFill="1" applyBorder="1" applyAlignment="1">
      <alignment horizontal="center" vertical="center" shrinkToFit="1"/>
    </xf>
    <xf numFmtId="0" fontId="14" fillId="0" borderId="12" xfId="0" applyFont="1" applyBorder="1" applyAlignment="1">
      <alignment vertical="top" wrapText="1"/>
    </xf>
    <xf numFmtId="0" fontId="14" fillId="0" borderId="61" xfId="0" applyFont="1" applyBorder="1" applyAlignment="1">
      <alignment horizontal="center" vertical="center" shrinkToFit="1"/>
    </xf>
    <xf numFmtId="0" fontId="14" fillId="0" borderId="59" xfId="0" applyFont="1" applyBorder="1" applyAlignment="1">
      <alignment vertical="top" wrapText="1"/>
    </xf>
    <xf numFmtId="0" fontId="14" fillId="6" borderId="42" xfId="0" applyFont="1" applyFill="1" applyBorder="1" applyAlignment="1">
      <alignment horizontal="center" vertical="center" shrinkToFit="1"/>
    </xf>
    <xf numFmtId="0" fontId="14" fillId="0" borderId="42" xfId="0" applyFont="1" applyBorder="1" applyAlignment="1">
      <alignment horizontal="center" vertical="center" wrapText="1"/>
    </xf>
    <xf numFmtId="3" fontId="14" fillId="6" borderId="23" xfId="0" applyNumberFormat="1" applyFont="1" applyFill="1" applyBorder="1" applyAlignment="1">
      <alignment horizontal="center" vertical="center"/>
    </xf>
    <xf numFmtId="0" fontId="14" fillId="34" borderId="12" xfId="0" applyFont="1" applyFill="1" applyBorder="1" applyAlignment="1">
      <alignment horizontal="center" vertical="center" wrapText="1"/>
    </xf>
    <xf numFmtId="0" fontId="86" fillId="6" borderId="12" xfId="0" applyFont="1" applyFill="1" applyBorder="1" applyAlignment="1">
      <alignment horizontal="center" vertical="center" wrapText="1"/>
    </xf>
    <xf numFmtId="0" fontId="14" fillId="10"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0" borderId="39" xfId="0" applyFont="1" applyBorder="1" applyAlignment="1" applyProtection="1">
      <alignment horizontal="left" vertical="top" wrapText="1"/>
      <protection locked="0"/>
    </xf>
    <xf numFmtId="49" fontId="59" fillId="6" borderId="13" xfId="0" applyNumberFormat="1" applyFont="1" applyFill="1" applyBorder="1" applyAlignment="1">
      <alignment horizontal="center" vertical="center"/>
    </xf>
    <xf numFmtId="0" fontId="14" fillId="6" borderId="62" xfId="0" applyFont="1" applyFill="1" applyBorder="1" applyAlignment="1">
      <alignment horizontal="center" vertical="center" shrinkToFit="1"/>
    </xf>
    <xf numFmtId="0" fontId="14" fillId="6" borderId="12" xfId="3" applyFont="1" applyFill="1" applyBorder="1" applyAlignment="1">
      <alignment horizontal="center" vertical="center" shrinkToFit="1"/>
    </xf>
    <xf numFmtId="0" fontId="14" fillId="6" borderId="46" xfId="0" applyFont="1" applyFill="1" applyBorder="1" applyAlignment="1">
      <alignment horizontal="center" vertical="center" shrinkToFit="1"/>
    </xf>
    <xf numFmtId="0" fontId="14" fillId="6" borderId="40" xfId="0" applyFont="1" applyFill="1" applyBorder="1" applyAlignment="1">
      <alignment horizontal="center" vertical="center" shrinkToFit="1"/>
    </xf>
    <xf numFmtId="0" fontId="14" fillId="0" borderId="76" xfId="0" applyFont="1" applyBorder="1" applyAlignment="1">
      <alignment horizontal="center" vertical="center" shrinkToFit="1"/>
    </xf>
    <xf numFmtId="0" fontId="14" fillId="0" borderId="70" xfId="0" applyFont="1" applyBorder="1" applyAlignment="1">
      <alignment horizontal="center" vertical="center" wrapText="1"/>
    </xf>
    <xf numFmtId="0" fontId="14" fillId="6" borderId="12" xfId="0" applyFont="1" applyFill="1" applyBorder="1" applyAlignment="1">
      <alignment horizontal="left" vertical="top" wrapText="1"/>
    </xf>
    <xf numFmtId="49" fontId="59" fillId="0" borderId="12" xfId="0" applyNumberFormat="1" applyFont="1" applyBorder="1" applyAlignment="1">
      <alignment horizontal="left" vertical="top" wrapText="1"/>
    </xf>
    <xf numFmtId="0" fontId="14" fillId="0" borderId="12" xfId="0" applyFont="1" applyBorder="1" applyAlignment="1" applyProtection="1">
      <alignment vertical="top" wrapText="1"/>
      <protection locked="0"/>
    </xf>
    <xf numFmtId="0" fontId="14" fillId="0" borderId="1" xfId="0" applyFont="1" applyBorder="1" applyAlignment="1" applyProtection="1">
      <alignment vertical="top" wrapText="1"/>
      <protection locked="0"/>
    </xf>
    <xf numFmtId="0" fontId="14" fillId="6" borderId="11" xfId="0" applyFont="1" applyFill="1" applyBorder="1" applyAlignment="1">
      <alignment horizontal="left" vertical="top" wrapText="1"/>
    </xf>
    <xf numFmtId="0" fontId="14" fillId="6" borderId="49" xfId="0" applyFont="1" applyFill="1" applyBorder="1" applyAlignment="1" applyProtection="1">
      <alignment vertical="top" wrapText="1"/>
      <protection locked="0"/>
    </xf>
    <xf numFmtId="0" fontId="14" fillId="6" borderId="12" xfId="0" applyFont="1" applyFill="1" applyBorder="1" applyAlignment="1" applyProtection="1">
      <alignment vertical="top" wrapText="1"/>
      <protection locked="0"/>
    </xf>
    <xf numFmtId="0" fontId="14" fillId="6" borderId="12" xfId="0" applyFont="1" applyFill="1" applyBorder="1" applyAlignment="1" applyProtection="1">
      <alignment horizontal="left" vertical="top" wrapText="1"/>
      <protection locked="0"/>
    </xf>
    <xf numFmtId="0" fontId="14" fillId="6" borderId="12" xfId="129" applyFont="1" applyFill="1" applyBorder="1" applyAlignment="1">
      <alignment horizontal="left" vertical="top" wrapText="1"/>
    </xf>
    <xf numFmtId="49" fontId="63" fillId="6" borderId="12" xfId="0" applyNumberFormat="1" applyFont="1" applyFill="1" applyBorder="1" applyAlignment="1">
      <alignment horizontal="left" vertical="top" wrapText="1"/>
    </xf>
    <xf numFmtId="2" fontId="14" fillId="6" borderId="12" xfId="0" applyNumberFormat="1" applyFont="1" applyFill="1" applyBorder="1" applyAlignment="1">
      <alignment horizontal="left" vertical="top" wrapText="1"/>
    </xf>
    <xf numFmtId="0" fontId="14" fillId="0" borderId="61" xfId="0" applyFont="1" applyBorder="1" applyAlignment="1">
      <alignment vertical="top" wrapText="1"/>
    </xf>
    <xf numFmtId="0" fontId="14" fillId="0" borderId="56" xfId="0" applyFont="1" applyBorder="1" applyAlignment="1">
      <alignment vertical="top" wrapText="1"/>
    </xf>
    <xf numFmtId="49" fontId="14" fillId="0" borderId="23" xfId="0" applyNumberFormat="1" applyFont="1" applyBorder="1" applyAlignment="1">
      <alignment vertical="top" wrapText="1"/>
    </xf>
    <xf numFmtId="0" fontId="14" fillId="0" borderId="61" xfId="0" applyFont="1" applyBorder="1" applyAlignment="1">
      <alignment horizontal="left" vertical="top" wrapText="1"/>
    </xf>
    <xf numFmtId="0" fontId="58" fillId="34" borderId="12" xfId="0" applyFont="1" applyFill="1" applyBorder="1" applyAlignment="1">
      <alignment horizontal="left" vertical="top" wrapText="1"/>
    </xf>
    <xf numFmtId="0" fontId="82" fillId="34" borderId="12" xfId="0" applyFont="1" applyFill="1" applyBorder="1" applyAlignment="1">
      <alignment horizontal="left" vertical="top" wrapText="1"/>
    </xf>
    <xf numFmtId="0" fontId="14" fillId="0" borderId="70" xfId="0" applyFont="1" applyBorder="1" applyAlignment="1">
      <alignment horizontal="left" vertical="top" wrapText="1"/>
    </xf>
    <xf numFmtId="0" fontId="14" fillId="0" borderId="70" xfId="0" applyFont="1" applyBorder="1" applyAlignment="1">
      <alignment vertical="top" wrapText="1"/>
    </xf>
    <xf numFmtId="49" fontId="59" fillId="6" borderId="13" xfId="0" applyNumberFormat="1" applyFont="1" applyFill="1" applyBorder="1" applyAlignment="1">
      <alignment horizontal="left" vertical="top" wrapText="1"/>
    </xf>
    <xf numFmtId="0" fontId="14" fillId="0" borderId="60" xfId="0" applyFont="1" applyBorder="1" applyAlignment="1">
      <alignment vertical="top" wrapText="1"/>
    </xf>
    <xf numFmtId="0" fontId="58" fillId="0" borderId="23" xfId="0" applyFont="1" applyBorder="1" applyAlignment="1">
      <alignment vertical="top" wrapText="1"/>
    </xf>
    <xf numFmtId="0" fontId="58" fillId="0" borderId="59" xfId="0" applyFont="1" applyBorder="1" applyAlignment="1">
      <alignment vertical="top" wrapText="1"/>
    </xf>
    <xf numFmtId="49" fontId="14" fillId="6" borderId="1" xfId="0" applyNumberFormat="1" applyFont="1" applyFill="1" applyBorder="1" applyAlignment="1">
      <alignment horizontal="center" vertical="center" shrinkToFit="1"/>
    </xf>
    <xf numFmtId="49" fontId="14" fillId="6" borderId="12" xfId="0" applyNumberFormat="1" applyFont="1" applyFill="1" applyBorder="1" applyAlignment="1">
      <alignment horizontal="center" vertical="center" shrinkToFit="1"/>
    </xf>
    <xf numFmtId="49" fontId="14" fillId="0" borderId="68" xfId="0" applyNumberFormat="1" applyFont="1" applyBorder="1" applyAlignment="1">
      <alignment horizontal="center" vertical="center" shrinkToFit="1"/>
    </xf>
    <xf numFmtId="0" fontId="88" fillId="6" borderId="1" xfId="0" applyFont="1" applyFill="1" applyBorder="1" applyAlignment="1">
      <alignment horizontal="center" vertical="center" shrinkToFit="1"/>
    </xf>
    <xf numFmtId="0" fontId="88" fillId="0" borderId="12" xfId="0" applyFont="1" applyBorder="1" applyAlignment="1" applyProtection="1">
      <alignment horizontal="center" vertical="center" wrapText="1"/>
      <protection locked="0"/>
    </xf>
    <xf numFmtId="49" fontId="89" fillId="3" borderId="68" xfId="0" applyNumberFormat="1" applyFont="1" applyFill="1" applyBorder="1" applyAlignment="1">
      <alignment horizontal="center" vertical="center" shrinkToFit="1"/>
    </xf>
    <xf numFmtId="0" fontId="90" fillId="0" borderId="11" xfId="0" applyFont="1" applyBorder="1" applyAlignment="1">
      <alignment horizontal="center" vertical="top" wrapText="1"/>
    </xf>
    <xf numFmtId="0" fontId="14" fillId="6" borderId="23" xfId="0" applyFont="1" applyFill="1" applyBorder="1" applyAlignment="1">
      <alignment vertical="top" wrapText="1"/>
    </xf>
    <xf numFmtId="0" fontId="14" fillId="6" borderId="23" xfId="0" applyFont="1" applyFill="1" applyBorder="1" applyAlignment="1">
      <alignment horizontal="center" vertical="center"/>
    </xf>
    <xf numFmtId="49" fontId="89" fillId="7" borderId="1" xfId="0" applyNumberFormat="1" applyFont="1" applyFill="1" applyBorder="1" applyAlignment="1">
      <alignment horizontal="center" vertical="center" shrinkToFit="1"/>
    </xf>
    <xf numFmtId="0" fontId="90" fillId="0" borderId="12" xfId="0" applyFont="1" applyBorder="1" applyAlignment="1">
      <alignment horizontal="center" vertical="center" wrapText="1"/>
    </xf>
    <xf numFmtId="49" fontId="89" fillId="7" borderId="12" xfId="0" applyNumberFormat="1" applyFont="1" applyFill="1" applyBorder="1" applyAlignment="1">
      <alignment horizontal="center" vertical="center" shrinkToFit="1"/>
    </xf>
    <xf numFmtId="0" fontId="88" fillId="6" borderId="43" xfId="0" applyFont="1" applyFill="1" applyBorder="1" applyAlignment="1">
      <alignment horizontal="center" vertical="center" wrapText="1"/>
    </xf>
    <xf numFmtId="0" fontId="84" fillId="0" borderId="0" xfId="0" applyFont="1" applyAlignment="1">
      <alignment horizontal="center" vertical="center"/>
    </xf>
    <xf numFmtId="0" fontId="84" fillId="0" borderId="12" xfId="0" applyFont="1" applyBorder="1" applyAlignment="1">
      <alignment horizontal="center" vertical="center"/>
    </xf>
    <xf numFmtId="3" fontId="84" fillId="6" borderId="12" xfId="0" applyNumberFormat="1" applyFont="1" applyFill="1" applyBorder="1" applyAlignment="1">
      <alignment horizontal="center" vertical="center"/>
    </xf>
    <xf numFmtId="3" fontId="84" fillId="35" borderId="12" xfId="0" applyNumberFormat="1" applyFont="1" applyFill="1" applyBorder="1" applyAlignment="1">
      <alignment horizontal="center" vertical="center"/>
    </xf>
    <xf numFmtId="0" fontId="84" fillId="6" borderId="12" xfId="0" applyFont="1" applyFill="1" applyBorder="1" applyAlignment="1">
      <alignment horizontal="center" vertical="center" shrinkToFit="1"/>
    </xf>
    <xf numFmtId="0" fontId="89" fillId="0" borderId="12" xfId="0" applyFont="1" applyBorder="1" applyAlignment="1">
      <alignment horizontal="center" vertical="center" shrinkToFit="1"/>
    </xf>
    <xf numFmtId="0" fontId="84" fillId="0" borderId="12" xfId="0" applyFont="1" applyBorder="1" applyAlignment="1">
      <alignment horizontal="center" vertical="center" shrinkToFit="1"/>
    </xf>
    <xf numFmtId="0" fontId="84" fillId="0" borderId="70" xfId="0" applyFont="1" applyBorder="1" applyAlignment="1">
      <alignment horizontal="center" vertical="center" shrinkToFit="1"/>
    </xf>
    <xf numFmtId="3" fontId="84" fillId="6" borderId="50" xfId="0" applyNumberFormat="1" applyFont="1" applyFill="1" applyBorder="1" applyAlignment="1">
      <alignment horizontal="center" vertical="center" shrinkToFit="1"/>
    </xf>
    <xf numFmtId="49" fontId="89" fillId="3" borderId="38" xfId="0" applyNumberFormat="1" applyFont="1" applyFill="1" applyBorder="1" applyAlignment="1">
      <alignment horizontal="center" vertical="center" wrapText="1"/>
    </xf>
    <xf numFmtId="0" fontId="84" fillId="7" borderId="39" xfId="0" applyFont="1" applyFill="1" applyBorder="1" applyAlignment="1">
      <alignment horizontal="center" vertical="center" wrapText="1"/>
    </xf>
    <xf numFmtId="49" fontId="93" fillId="6" borderId="66" xfId="0" applyNumberFormat="1" applyFont="1" applyFill="1" applyBorder="1" applyAlignment="1">
      <alignment horizontal="left" vertical="center" wrapText="1"/>
    </xf>
    <xf numFmtId="49" fontId="93" fillId="0" borderId="12" xfId="0" applyNumberFormat="1" applyFont="1" applyBorder="1" applyAlignment="1">
      <alignment horizontal="center" vertical="center" wrapText="1"/>
    </xf>
    <xf numFmtId="0" fontId="60" fillId="6" borderId="12" xfId="129" applyFont="1" applyFill="1" applyBorder="1" applyAlignment="1">
      <alignment horizontal="left" vertical="top" wrapText="1"/>
    </xf>
    <xf numFmtId="0" fontId="14" fillId="0" borderId="39" xfId="0" applyFont="1" applyBorder="1" applyAlignment="1">
      <alignment horizontal="left" vertical="top" wrapText="1"/>
    </xf>
    <xf numFmtId="0" fontId="84" fillId="0" borderId="12" xfId="0" applyFont="1" applyBorder="1" applyAlignment="1">
      <alignment horizontal="center" vertical="center" wrapText="1"/>
    </xf>
    <xf numFmtId="3" fontId="84" fillId="0" borderId="12" xfId="0" applyNumberFormat="1" applyFont="1" applyBorder="1" applyAlignment="1">
      <alignment horizontal="center" vertical="center"/>
    </xf>
    <xf numFmtId="0" fontId="84" fillId="6" borderId="12" xfId="0" applyFont="1" applyFill="1" applyBorder="1" applyAlignment="1">
      <alignment horizontal="center" vertical="center" wrapText="1"/>
    </xf>
    <xf numFmtId="0" fontId="107" fillId="0" borderId="0" xfId="0" applyFont="1"/>
    <xf numFmtId="0" fontId="107" fillId="0" borderId="0" xfId="11" applyFont="1" applyAlignment="1">
      <alignment wrapText="1"/>
    </xf>
    <xf numFmtId="1" fontId="107" fillId="0" borderId="0" xfId="0" applyNumberFormat="1" applyFont="1"/>
    <xf numFmtId="0" fontId="84" fillId="0" borderId="0" xfId="4" applyFont="1" applyAlignment="1"/>
    <xf numFmtId="0" fontId="20" fillId="0" borderId="0" xfId="135" applyFont="1"/>
    <xf numFmtId="0" fontId="19" fillId="0" borderId="0" xfId="4" applyFont="1" applyAlignment="1"/>
    <xf numFmtId="0" fontId="108" fillId="0" borderId="0" xfId="4" applyFont="1" applyAlignment="1">
      <alignment horizontal="center" vertical="center" wrapText="1"/>
    </xf>
    <xf numFmtId="0" fontId="16" fillId="0" borderId="0" xfId="4" applyFont="1" applyAlignment="1">
      <alignment horizontal="left" vertical="center" wrapText="1"/>
    </xf>
    <xf numFmtId="0" fontId="16" fillId="0" borderId="0" xfId="4" applyFont="1" applyAlignment="1">
      <alignment horizontal="left" vertical="center"/>
    </xf>
    <xf numFmtId="0" fontId="20" fillId="0" borderId="0" xfId="135" applyFont="1" applyAlignment="1">
      <alignment vertical="center"/>
    </xf>
    <xf numFmtId="0" fontId="19" fillId="0" borderId="0" xfId="0" applyFont="1" applyAlignment="1">
      <alignment horizontal="justify" vertical="center"/>
    </xf>
    <xf numFmtId="49" fontId="17" fillId="0" borderId="0" xfId="0" applyNumberFormat="1" applyFont="1" applyAlignment="1">
      <alignment vertical="center"/>
    </xf>
    <xf numFmtId="3" fontId="99" fillId="0" borderId="0" xfId="0" applyNumberFormat="1" applyFont="1" applyAlignment="1">
      <alignment vertical="center" wrapText="1"/>
    </xf>
    <xf numFmtId="49" fontId="112" fillId="0" borderId="0" xfId="0" applyNumberFormat="1" applyFont="1" applyAlignment="1">
      <alignment vertical="center"/>
    </xf>
    <xf numFmtId="0" fontId="112" fillId="0" borderId="0" xfId="0" applyFont="1" applyAlignment="1">
      <alignment vertical="center"/>
    </xf>
    <xf numFmtId="0" fontId="84" fillId="0" borderId="0" xfId="0" applyFont="1" applyAlignment="1">
      <alignment wrapText="1"/>
    </xf>
    <xf numFmtId="0" fontId="113" fillId="0" borderId="0" xfId="0" applyFont="1"/>
    <xf numFmtId="0" fontId="113" fillId="0" borderId="0" xfId="0" applyFont="1" applyAlignment="1">
      <alignment vertical="center"/>
    </xf>
    <xf numFmtId="0" fontId="111" fillId="0" borderId="0" xfId="0" applyFont="1"/>
    <xf numFmtId="0" fontId="115" fillId="0" borderId="0" xfId="0" applyFont="1" applyAlignment="1">
      <alignment horizontal="left" vertical="center"/>
    </xf>
    <xf numFmtId="0" fontId="115" fillId="0" borderId="0" xfId="0" applyFont="1"/>
    <xf numFmtId="49" fontId="113" fillId="0" borderId="0" xfId="0" applyNumberFormat="1" applyFont="1" applyAlignment="1">
      <alignment vertical="center"/>
    </xf>
    <xf numFmtId="0" fontId="114" fillId="0" borderId="0" xfId="0" applyFont="1"/>
    <xf numFmtId="49" fontId="13" fillId="0" borderId="0" xfId="0" applyNumberFormat="1" applyFont="1" applyAlignment="1">
      <alignment vertical="center"/>
    </xf>
    <xf numFmtId="0" fontId="116" fillId="0" borderId="0" xfId="0" applyFont="1" applyAlignment="1">
      <alignment vertical="center"/>
    </xf>
    <xf numFmtId="0" fontId="103" fillId="0" borderId="0" xfId="0" applyFont="1" applyAlignment="1">
      <alignment horizontal="left" vertical="center"/>
    </xf>
    <xf numFmtId="0" fontId="117" fillId="6" borderId="0" xfId="0" applyFont="1" applyFill="1" applyAlignment="1">
      <alignment vertical="center"/>
    </xf>
    <xf numFmtId="49" fontId="19" fillId="6" borderId="10" xfId="0" applyNumberFormat="1" applyFont="1" applyFill="1" applyBorder="1" applyAlignment="1">
      <alignment vertical="center"/>
    </xf>
    <xf numFmtId="49" fontId="16" fillId="6" borderId="10" xfId="0" applyNumberFormat="1" applyFont="1" applyFill="1" applyBorder="1" applyAlignment="1">
      <alignment vertical="center"/>
    </xf>
    <xf numFmtId="49" fontId="118" fillId="6" borderId="10" xfId="0" applyNumberFormat="1" applyFont="1" applyFill="1" applyBorder="1" applyAlignment="1">
      <alignment vertical="center"/>
    </xf>
    <xf numFmtId="49" fontId="16" fillId="0" borderId="1" xfId="0" applyNumberFormat="1" applyFont="1" applyBorder="1" applyAlignment="1">
      <alignment horizontal="center" vertical="center"/>
    </xf>
    <xf numFmtId="0" fontId="14" fillId="0" borderId="35" xfId="0" applyFont="1" applyBorder="1" applyAlignment="1">
      <alignment vertical="top" wrapText="1"/>
    </xf>
    <xf numFmtId="49" fontId="14" fillId="35" borderId="12" xfId="0" applyNumberFormat="1" applyFont="1" applyFill="1" applyBorder="1" applyAlignment="1">
      <alignment horizontal="center" vertical="center" wrapText="1"/>
    </xf>
    <xf numFmtId="0" fontId="14" fillId="6" borderId="78" xfId="0" applyFont="1" applyFill="1" applyBorder="1" applyAlignment="1">
      <alignment vertical="top" wrapText="1"/>
    </xf>
    <xf numFmtId="0" fontId="14" fillId="6" borderId="78" xfId="0" applyFont="1" applyFill="1" applyBorder="1" applyAlignment="1">
      <alignment horizontal="left" vertical="top" wrapText="1"/>
    </xf>
    <xf numFmtId="0" fontId="14" fillId="6" borderId="78" xfId="0" applyFont="1" applyFill="1" applyBorder="1" applyAlignment="1">
      <alignment horizontal="center" vertical="center" shrinkToFit="1"/>
    </xf>
    <xf numFmtId="3" fontId="58" fillId="45" borderId="23" xfId="0" applyNumberFormat="1" applyFont="1" applyFill="1" applyBorder="1" applyAlignment="1">
      <alignment horizontal="center" vertical="center"/>
    </xf>
    <xf numFmtId="0" fontId="14" fillId="10" borderId="12" xfId="0" applyFont="1" applyFill="1" applyBorder="1" applyAlignment="1">
      <alignment horizontal="left" vertical="top" wrapText="1"/>
    </xf>
    <xf numFmtId="49" fontId="59" fillId="6" borderId="12" xfId="0" applyNumberFormat="1" applyFont="1" applyFill="1" applyBorder="1" applyAlignment="1">
      <alignment horizontal="left" vertical="center" wrapText="1"/>
    </xf>
    <xf numFmtId="3" fontId="119" fillId="6" borderId="12" xfId="0" applyNumberFormat="1" applyFont="1" applyFill="1" applyBorder="1" applyAlignment="1">
      <alignment horizontal="center" vertical="center" shrinkToFit="1"/>
    </xf>
    <xf numFmtId="0" fontId="86" fillId="0" borderId="76" xfId="0" applyFont="1" applyBorder="1" applyAlignment="1">
      <alignment horizontal="left" vertical="top" wrapText="1"/>
    </xf>
    <xf numFmtId="0" fontId="16" fillId="0" borderId="0" xfId="4" applyFont="1" applyAlignment="1">
      <alignment vertical="center" wrapText="1"/>
    </xf>
    <xf numFmtId="0" fontId="98" fillId="0" borderId="0" xfId="4" applyFont="1" applyAlignment="1">
      <alignment vertical="center"/>
    </xf>
    <xf numFmtId="0" fontId="89" fillId="0" borderId="78" xfId="0" applyFont="1" applyBorder="1" applyAlignment="1">
      <alignment horizontal="center" vertical="center" shrinkToFit="1"/>
    </xf>
    <xf numFmtId="3" fontId="84" fillId="6" borderId="78" xfId="0" applyNumberFormat="1" applyFont="1" applyFill="1" applyBorder="1" applyAlignment="1">
      <alignment horizontal="center" vertical="center" shrinkToFit="1"/>
    </xf>
    <xf numFmtId="3" fontId="84" fillId="7" borderId="78" xfId="0" applyNumberFormat="1" applyFont="1" applyFill="1" applyBorder="1" applyAlignment="1">
      <alignment horizontal="center" vertical="center" shrinkToFit="1"/>
    </xf>
    <xf numFmtId="3" fontId="58" fillId="6" borderId="78" xfId="0" applyNumberFormat="1" applyFont="1" applyFill="1" applyBorder="1" applyAlignment="1">
      <alignment horizontal="center" vertical="center" shrinkToFit="1"/>
    </xf>
    <xf numFmtId="3" fontId="58" fillId="0" borderId="12" xfId="0" applyNumberFormat="1" applyFont="1" applyBorder="1" applyAlignment="1">
      <alignment horizontal="center" vertical="center" shrinkToFit="1"/>
    </xf>
    <xf numFmtId="3" fontId="58" fillId="6" borderId="70" xfId="0" applyNumberFormat="1" applyFont="1" applyFill="1" applyBorder="1" applyAlignment="1">
      <alignment horizontal="center" vertical="center" shrinkToFit="1"/>
    </xf>
    <xf numFmtId="3" fontId="58" fillId="34" borderId="81" xfId="129" applyNumberFormat="1" applyFont="1" applyFill="1" applyBorder="1" applyAlignment="1">
      <alignment horizontal="center" vertical="center"/>
    </xf>
    <xf numFmtId="3" fontId="103" fillId="6" borderId="55" xfId="0" applyNumberFormat="1" applyFont="1" applyFill="1" applyBorder="1" applyAlignment="1">
      <alignment horizontal="center" vertical="center"/>
    </xf>
    <xf numFmtId="3" fontId="103" fillId="6" borderId="12" xfId="0" applyNumberFormat="1" applyFont="1" applyFill="1" applyBorder="1" applyAlignment="1">
      <alignment horizontal="center" vertical="center"/>
    </xf>
    <xf numFmtId="3" fontId="103" fillId="45" borderId="35" xfId="0" applyNumberFormat="1" applyFont="1" applyFill="1" applyBorder="1" applyAlignment="1">
      <alignment horizontal="center" vertical="center"/>
    </xf>
    <xf numFmtId="3" fontId="58" fillId="6" borderId="50" xfId="0" applyNumberFormat="1" applyFont="1" applyFill="1" applyBorder="1" applyAlignment="1">
      <alignment horizontal="center" vertical="center"/>
    </xf>
    <xf numFmtId="3" fontId="58" fillId="6" borderId="77" xfId="0" applyNumberFormat="1" applyFont="1" applyFill="1" applyBorder="1" applyAlignment="1">
      <alignment horizontal="center" vertical="center"/>
    </xf>
    <xf numFmtId="3" fontId="62" fillId="0" borderId="12" xfId="0" applyNumberFormat="1" applyFont="1" applyBorder="1" applyAlignment="1">
      <alignment horizontal="center" vertical="center"/>
    </xf>
    <xf numFmtId="3" fontId="58" fillId="35" borderId="23" xfId="0" applyNumberFormat="1" applyFont="1" applyFill="1" applyBorder="1" applyAlignment="1">
      <alignment horizontal="center" vertical="center"/>
    </xf>
    <xf numFmtId="3" fontId="58" fillId="0" borderId="12" xfId="0" applyNumberFormat="1" applyFont="1" applyBorder="1" applyAlignment="1">
      <alignment horizontal="center" vertical="center"/>
    </xf>
    <xf numFmtId="0" fontId="84" fillId="6" borderId="12" xfId="0" applyFont="1" applyFill="1" applyBorder="1" applyAlignment="1" applyProtection="1">
      <alignment horizontal="center" vertical="center" wrapText="1"/>
      <protection locked="0"/>
    </xf>
    <xf numFmtId="0" fontId="84" fillId="0" borderId="84" xfId="0" applyFont="1" applyBorder="1" applyAlignment="1">
      <alignment horizontal="center" vertical="center"/>
    </xf>
    <xf numFmtId="3" fontId="58" fillId="35" borderId="35" xfId="0" applyNumberFormat="1" applyFont="1" applyFill="1" applyBorder="1" applyAlignment="1">
      <alignment horizontal="center" vertical="center"/>
    </xf>
    <xf numFmtId="3" fontId="58" fillId="0" borderId="35" xfId="0" applyNumberFormat="1" applyFont="1" applyBorder="1" applyAlignment="1">
      <alignment horizontal="center" vertical="center"/>
    </xf>
    <xf numFmtId="3" fontId="84" fillId="7" borderId="50" xfId="0" applyNumberFormat="1" applyFont="1" applyFill="1" applyBorder="1" applyAlignment="1">
      <alignment horizontal="center" vertical="center" shrinkToFit="1"/>
    </xf>
    <xf numFmtId="0" fontId="58" fillId="0" borderId="12" xfId="0" applyFont="1" applyBorder="1" applyAlignment="1">
      <alignment horizontal="center" vertical="center"/>
    </xf>
    <xf numFmtId="3" fontId="58" fillId="35" borderId="59" xfId="0" applyNumberFormat="1" applyFont="1" applyFill="1" applyBorder="1" applyAlignment="1">
      <alignment horizontal="center" vertical="center"/>
    </xf>
    <xf numFmtId="3" fontId="58" fillId="6" borderId="87" xfId="0" applyNumberFormat="1" applyFont="1" applyFill="1" applyBorder="1" applyAlignment="1">
      <alignment horizontal="center" vertical="center" shrinkToFit="1"/>
    </xf>
    <xf numFmtId="0" fontId="58" fillId="0" borderId="84" xfId="0" applyFont="1" applyBorder="1" applyAlignment="1">
      <alignment horizontal="center" vertical="center"/>
    </xf>
    <xf numFmtId="3" fontId="84" fillId="7" borderId="88" xfId="0" applyNumberFormat="1" applyFont="1" applyFill="1" applyBorder="1" applyAlignment="1">
      <alignment horizontal="center" vertical="center" shrinkToFit="1"/>
    </xf>
    <xf numFmtId="3" fontId="105" fillId="6" borderId="87" xfId="0" applyNumberFormat="1" applyFont="1" applyFill="1" applyBorder="1" applyAlignment="1">
      <alignment horizontal="center" vertical="center" shrinkToFit="1"/>
    </xf>
    <xf numFmtId="2" fontId="84" fillId="0" borderId="12" xfId="0" applyNumberFormat="1" applyFont="1" applyBorder="1" applyAlignment="1">
      <alignment horizontal="center" vertical="center" shrinkToFit="1"/>
    </xf>
    <xf numFmtId="3" fontId="104" fillId="6" borderId="12" xfId="0" applyNumberFormat="1" applyFont="1" applyFill="1" applyBorder="1" applyAlignment="1">
      <alignment horizontal="center" vertical="center" shrinkToFit="1"/>
    </xf>
    <xf numFmtId="3" fontId="58" fillId="6" borderId="87" xfId="14" applyNumberFormat="1" applyFont="1" applyFill="1" applyBorder="1" applyAlignment="1">
      <alignment horizontal="center" vertical="center" shrinkToFit="1"/>
    </xf>
    <xf numFmtId="3" fontId="58" fillId="0" borderId="60" xfId="0" applyNumberFormat="1" applyFont="1" applyBorder="1" applyAlignment="1">
      <alignment horizontal="center" vertical="center"/>
    </xf>
    <xf numFmtId="0" fontId="116" fillId="0" borderId="0" xfId="0" applyFont="1" applyAlignment="1">
      <alignment horizontal="center"/>
    </xf>
    <xf numFmtId="1" fontId="116" fillId="0" borderId="0" xfId="0" applyNumberFormat="1" applyFont="1" applyAlignment="1">
      <alignment horizontal="center"/>
    </xf>
    <xf numFmtId="0" fontId="19" fillId="0" borderId="0" xfId="0" applyFont="1" applyAlignment="1">
      <alignment horizontal="center"/>
    </xf>
    <xf numFmtId="0" fontId="66" fillId="0" borderId="0" xfId="4" applyFont="1" applyAlignment="1">
      <alignment horizontal="center" vertical="center"/>
    </xf>
    <xf numFmtId="0" fontId="117" fillId="0" borderId="0" xfId="0" applyFont="1" applyAlignment="1">
      <alignment horizontal="center" vertical="center"/>
    </xf>
    <xf numFmtId="0" fontId="121" fillId="0" borderId="0" xfId="0" applyFont="1" applyAlignment="1">
      <alignment horizontal="center" vertical="center"/>
    </xf>
    <xf numFmtId="3" fontId="81" fillId="0" borderId="0" xfId="0" applyNumberFormat="1" applyFont="1" applyAlignment="1">
      <alignment horizontal="center" vertical="center"/>
    </xf>
    <xf numFmtId="0" fontId="122" fillId="6" borderId="0" xfId="0" applyFont="1" applyFill="1" applyAlignment="1">
      <alignment horizontal="left" vertical="center"/>
    </xf>
    <xf numFmtId="0" fontId="123" fillId="6" borderId="0" xfId="0" applyFont="1" applyFill="1" applyAlignment="1">
      <alignment vertical="center"/>
    </xf>
    <xf numFmtId="0" fontId="14" fillId="6" borderId="0" xfId="0" applyFont="1" applyFill="1" applyAlignment="1">
      <alignment horizontal="left" vertical="center"/>
    </xf>
    <xf numFmtId="0" fontId="14" fillId="6" borderId="0" xfId="0" applyFont="1" applyFill="1" applyAlignment="1">
      <alignment horizontal="left" vertical="center" wrapText="1"/>
    </xf>
    <xf numFmtId="0" fontId="59" fillId="6" borderId="12" xfId="0" applyFont="1" applyFill="1" applyBorder="1" applyAlignment="1">
      <alignment horizontal="left" vertical="center" wrapText="1"/>
    </xf>
    <xf numFmtId="49" fontId="59" fillId="6" borderId="66" xfId="0" applyNumberFormat="1" applyFont="1" applyFill="1" applyBorder="1" applyAlignment="1">
      <alignment horizontal="left" vertical="center" wrapText="1"/>
    </xf>
    <xf numFmtId="3" fontId="59" fillId="6" borderId="12" xfId="0" applyNumberFormat="1" applyFont="1" applyFill="1" applyBorder="1" applyAlignment="1">
      <alignment horizontal="left" vertical="center" wrapText="1"/>
    </xf>
    <xf numFmtId="0" fontId="14" fillId="6" borderId="49" xfId="129" applyFont="1" applyFill="1" applyBorder="1" applyAlignment="1">
      <alignment horizontal="left" vertical="center" wrapText="1"/>
    </xf>
    <xf numFmtId="0" fontId="59" fillId="6" borderId="42" xfId="0" applyFont="1" applyFill="1" applyBorder="1" applyAlignment="1">
      <alignment horizontal="left" vertical="top" wrapText="1"/>
    </xf>
    <xf numFmtId="0" fontId="59" fillId="6" borderId="49" xfId="0" applyFont="1" applyFill="1" applyBorder="1" applyAlignment="1">
      <alignment horizontal="left" vertical="center" wrapText="1"/>
    </xf>
    <xf numFmtId="49" fontId="62" fillId="6" borderId="12" xfId="0" applyNumberFormat="1" applyFont="1" applyFill="1" applyBorder="1" applyAlignment="1">
      <alignment horizontal="left" vertical="center" wrapText="1"/>
    </xf>
    <xf numFmtId="0" fontId="14" fillId="6" borderId="60" xfId="0" applyFont="1" applyFill="1" applyBorder="1" applyAlignment="1">
      <alignment horizontal="left" vertical="center" wrapText="1"/>
    </xf>
    <xf numFmtId="0" fontId="14" fillId="6" borderId="23" xfId="0" applyFont="1" applyFill="1" applyBorder="1" applyAlignment="1">
      <alignment horizontal="left" vertical="center" wrapText="1"/>
    </xf>
    <xf numFmtId="49" fontId="14" fillId="6" borderId="12" xfId="0" applyNumberFormat="1" applyFont="1" applyFill="1" applyBorder="1" applyAlignment="1">
      <alignment horizontal="left" vertical="center" wrapText="1" readingOrder="1"/>
    </xf>
    <xf numFmtId="0" fontId="14" fillId="6" borderId="59" xfId="0" applyFont="1" applyFill="1" applyBorder="1" applyAlignment="1">
      <alignment horizontal="left" vertical="center" wrapText="1"/>
    </xf>
    <xf numFmtId="0" fontId="59" fillId="6" borderId="61" xfId="0" applyFont="1" applyFill="1" applyBorder="1" applyAlignment="1">
      <alignment horizontal="left" vertical="center" wrapText="1"/>
    </xf>
    <xf numFmtId="49" fontId="14" fillId="6" borderId="79" xfId="0" applyNumberFormat="1" applyFont="1" applyFill="1" applyBorder="1" applyAlignment="1">
      <alignment horizontal="left" vertical="center" wrapText="1"/>
    </xf>
    <xf numFmtId="0" fontId="59" fillId="6" borderId="41" xfId="0" applyFont="1" applyFill="1" applyBorder="1" applyAlignment="1">
      <alignment horizontal="left" vertical="center" wrapText="1"/>
    </xf>
    <xf numFmtId="0" fontId="86" fillId="6" borderId="12" xfId="0" applyFont="1" applyFill="1" applyBorder="1" applyAlignment="1">
      <alignment horizontal="left" vertical="center" wrapText="1"/>
    </xf>
    <xf numFmtId="0" fontId="14" fillId="6" borderId="61" xfId="0" applyFont="1" applyFill="1" applyBorder="1" applyAlignment="1">
      <alignment horizontal="left" vertical="center" wrapText="1"/>
    </xf>
    <xf numFmtId="0" fontId="60" fillId="6" borderId="23" xfId="0" applyFont="1" applyFill="1" applyBorder="1" applyAlignment="1">
      <alignment horizontal="left" vertical="center" wrapText="1"/>
    </xf>
    <xf numFmtId="0" fontId="59" fillId="6" borderId="70" xfId="0" applyFont="1" applyFill="1" applyBorder="1" applyAlignment="1">
      <alignment horizontal="left" vertical="center" wrapText="1"/>
    </xf>
    <xf numFmtId="0" fontId="59" fillId="6" borderId="51" xfId="0" applyFont="1" applyFill="1" applyBorder="1" applyAlignment="1">
      <alignment horizontal="left" vertical="center" wrapText="1"/>
    </xf>
    <xf numFmtId="0" fontId="60" fillId="6" borderId="78" xfId="0" applyFont="1" applyFill="1" applyBorder="1" applyAlignment="1">
      <alignment horizontal="left" vertical="center" wrapText="1"/>
    </xf>
    <xf numFmtId="0" fontId="59" fillId="6" borderId="76" xfId="0" applyFont="1" applyFill="1" applyBorder="1" applyAlignment="1">
      <alignment horizontal="left" vertical="center" wrapText="1"/>
    </xf>
    <xf numFmtId="49" fontId="14" fillId="6" borderId="59" xfId="0" applyNumberFormat="1" applyFont="1" applyFill="1" applyBorder="1" applyAlignment="1">
      <alignment horizontal="left" vertical="center" wrapText="1"/>
    </xf>
    <xf numFmtId="0" fontId="62" fillId="6" borderId="12" xfId="0" applyFont="1" applyFill="1" applyBorder="1" applyAlignment="1">
      <alignment horizontal="left" vertical="center" wrapText="1"/>
    </xf>
    <xf numFmtId="0" fontId="56" fillId="6" borderId="0" xfId="0" applyFont="1" applyFill="1" applyAlignment="1">
      <alignment horizontal="left" vertical="center"/>
    </xf>
    <xf numFmtId="0" fontId="111" fillId="6" borderId="0" xfId="0" applyFont="1" applyFill="1" applyAlignment="1">
      <alignment horizontal="left" vertical="center" wrapText="1"/>
    </xf>
    <xf numFmtId="0" fontId="58" fillId="6" borderId="0" xfId="0" applyFont="1" applyFill="1" applyAlignment="1">
      <alignment horizontal="left" vertical="center" wrapText="1"/>
    </xf>
    <xf numFmtId="0" fontId="14" fillId="6" borderId="0" xfId="0" applyFont="1" applyFill="1" applyAlignment="1">
      <alignment horizontal="left" wrapText="1"/>
    </xf>
    <xf numFmtId="0" fontId="113" fillId="6" borderId="0" xfId="0" applyFont="1" applyFill="1" applyAlignment="1">
      <alignment horizontal="left"/>
    </xf>
    <xf numFmtId="0" fontId="113" fillId="6" borderId="0" xfId="0" applyFont="1" applyFill="1" applyAlignment="1">
      <alignment horizontal="left" vertical="center"/>
    </xf>
    <xf numFmtId="0" fontId="113" fillId="6" borderId="0" xfId="0" applyFont="1" applyFill="1" applyAlignment="1">
      <alignment horizontal="left" vertical="center" wrapText="1"/>
    </xf>
    <xf numFmtId="0" fontId="113" fillId="6" borderId="0" xfId="0" applyFont="1" applyFill="1" applyAlignment="1">
      <alignment horizontal="left" wrapText="1"/>
    </xf>
    <xf numFmtId="3" fontId="103" fillId="34" borderId="12" xfId="129" applyNumberFormat="1" applyFont="1" applyFill="1" applyBorder="1" applyAlignment="1">
      <alignment horizontal="center" vertical="center"/>
    </xf>
    <xf numFmtId="3" fontId="58" fillId="45" borderId="35" xfId="0" applyNumberFormat="1" applyFont="1" applyFill="1" applyBorder="1" applyAlignment="1">
      <alignment horizontal="center" vertical="center"/>
    </xf>
    <xf numFmtId="3" fontId="58" fillId="45" borderId="63" xfId="0" applyNumberFormat="1" applyFont="1" applyFill="1" applyBorder="1" applyAlignment="1">
      <alignment horizontal="center" vertical="center"/>
    </xf>
    <xf numFmtId="3" fontId="58" fillId="6" borderId="50" xfId="0" applyNumberFormat="1" applyFont="1" applyFill="1" applyBorder="1" applyAlignment="1">
      <alignment horizontal="center" vertical="center" shrinkToFit="1"/>
    </xf>
    <xf numFmtId="3" fontId="58" fillId="6" borderId="35" xfId="0" applyNumberFormat="1" applyFont="1" applyFill="1" applyBorder="1" applyAlignment="1">
      <alignment horizontal="center" vertical="center"/>
    </xf>
    <xf numFmtId="3" fontId="58" fillId="6" borderId="82" xfId="0" applyNumberFormat="1" applyFont="1" applyFill="1" applyBorder="1" applyAlignment="1">
      <alignment horizontal="center" vertical="center" shrinkToFit="1"/>
    </xf>
    <xf numFmtId="3" fontId="120" fillId="6" borderId="12" xfId="0" applyNumberFormat="1" applyFont="1" applyFill="1" applyBorder="1" applyAlignment="1">
      <alignment horizontal="center" vertical="center"/>
    </xf>
    <xf numFmtId="3" fontId="88" fillId="6" borderId="12" xfId="0" applyNumberFormat="1" applyFont="1" applyFill="1" applyBorder="1" applyAlignment="1" applyProtection="1">
      <alignment horizontal="center" vertical="center"/>
      <protection locked="0"/>
    </xf>
    <xf numFmtId="3" fontId="90" fillId="6" borderId="12" xfId="0" applyNumberFormat="1" applyFont="1" applyFill="1" applyBorder="1" applyAlignment="1">
      <alignment horizontal="center" vertical="center" wrapText="1"/>
    </xf>
    <xf numFmtId="3" fontId="84" fillId="6" borderId="0" xfId="0" applyNumberFormat="1" applyFont="1" applyFill="1" applyAlignment="1">
      <alignment horizontal="center" vertical="center"/>
    </xf>
    <xf numFmtId="3" fontId="90" fillId="6" borderId="69" xfId="0" applyNumberFormat="1" applyFont="1" applyFill="1" applyBorder="1" applyAlignment="1">
      <alignment horizontal="center" vertical="center" wrapText="1"/>
    </xf>
    <xf numFmtId="3" fontId="14" fillId="6" borderId="60" xfId="0" applyNumberFormat="1" applyFont="1" applyFill="1" applyBorder="1" applyAlignment="1">
      <alignment horizontal="center" vertical="center"/>
    </xf>
    <xf numFmtId="3" fontId="84" fillId="6" borderId="12" xfId="129" applyNumberFormat="1" applyFont="1" applyFill="1" applyBorder="1" applyAlignment="1" applyProtection="1">
      <alignment horizontal="center" vertical="center"/>
      <protection locked="0"/>
    </xf>
    <xf numFmtId="3" fontId="14" fillId="6" borderId="72" xfId="14" applyNumberFormat="1" applyFont="1" applyFill="1" applyBorder="1" applyAlignment="1">
      <alignment horizontal="center" vertical="center"/>
    </xf>
    <xf numFmtId="3" fontId="60" fillId="6" borderId="74" xfId="0" applyNumberFormat="1" applyFont="1" applyFill="1" applyBorder="1" applyAlignment="1">
      <alignment horizontal="center" vertical="center" shrinkToFit="1"/>
    </xf>
    <xf numFmtId="3" fontId="14" fillId="6" borderId="74" xfId="0" applyNumberFormat="1" applyFont="1" applyFill="1" applyBorder="1" applyAlignment="1">
      <alignment horizontal="center" vertical="center" shrinkToFit="1"/>
    </xf>
    <xf numFmtId="3" fontId="14" fillId="6" borderId="82" xfId="0" applyNumberFormat="1" applyFont="1" applyFill="1" applyBorder="1" applyAlignment="1">
      <alignment horizontal="center" vertical="center"/>
    </xf>
    <xf numFmtId="49" fontId="62" fillId="6" borderId="12" xfId="0" applyNumberFormat="1" applyFont="1" applyFill="1" applyBorder="1" applyAlignment="1">
      <alignment horizontal="left" vertical="top" wrapText="1"/>
    </xf>
    <xf numFmtId="0" fontId="14" fillId="6" borderId="0" xfId="0" applyFont="1" applyFill="1"/>
    <xf numFmtId="0" fontId="14" fillId="6" borderId="41" xfId="0" applyFont="1" applyFill="1" applyBorder="1" applyAlignment="1">
      <alignment horizontal="left" vertical="center" wrapText="1"/>
    </xf>
    <xf numFmtId="0" fontId="14" fillId="6" borderId="11" xfId="0" applyFont="1" applyFill="1" applyBorder="1" applyAlignment="1">
      <alignment vertical="center" wrapText="1"/>
    </xf>
    <xf numFmtId="0" fontId="14" fillId="6" borderId="61" xfId="14" applyFont="1" applyFill="1" applyBorder="1" applyAlignment="1">
      <alignment vertical="center" wrapText="1"/>
    </xf>
    <xf numFmtId="0" fontId="14" fillId="6" borderId="11" xfId="0" applyFont="1" applyFill="1" applyBorder="1" applyAlignment="1">
      <alignment horizontal="left" vertical="center" wrapText="1"/>
    </xf>
    <xf numFmtId="0" fontId="14" fillId="6" borderId="61" xfId="14" applyFont="1" applyFill="1" applyBorder="1" applyAlignment="1">
      <alignment horizontal="left" vertical="center" wrapText="1"/>
    </xf>
    <xf numFmtId="0" fontId="14" fillId="6" borderId="46" xfId="0" applyFont="1" applyFill="1" applyBorder="1" applyAlignment="1">
      <alignment horizontal="left" vertical="center" wrapText="1"/>
    </xf>
    <xf numFmtId="0" fontId="14" fillId="6" borderId="61" xfId="0" applyFont="1" applyFill="1" applyBorder="1" applyAlignment="1">
      <alignment vertical="center" wrapText="1"/>
    </xf>
    <xf numFmtId="0" fontId="14" fillId="6" borderId="23" xfId="0" applyFont="1" applyFill="1" applyBorder="1" applyAlignment="1">
      <alignment vertical="center" wrapText="1"/>
    </xf>
    <xf numFmtId="0" fontId="86" fillId="0" borderId="76" xfId="0" applyFont="1" applyBorder="1" applyAlignment="1">
      <alignment horizontal="left" vertical="center" wrapText="1"/>
    </xf>
    <xf numFmtId="0" fontId="14" fillId="0" borderId="59" xfId="0" applyFont="1" applyBorder="1" applyAlignment="1">
      <alignment vertical="center" wrapText="1"/>
    </xf>
    <xf numFmtId="0" fontId="14" fillId="6" borderId="76" xfId="0" applyFont="1" applyFill="1" applyBorder="1" applyAlignment="1" applyProtection="1">
      <alignment horizontal="left" vertical="center" wrapText="1"/>
      <protection locked="0"/>
    </xf>
    <xf numFmtId="0" fontId="14" fillId="0" borderId="11" xfId="0" applyFont="1" applyBorder="1" applyAlignment="1">
      <alignment vertical="center" wrapText="1"/>
    </xf>
    <xf numFmtId="0" fontId="14" fillId="6" borderId="12" xfId="0" applyFont="1" applyFill="1" applyBorder="1" applyAlignment="1">
      <alignment vertical="center" wrapText="1"/>
    </xf>
    <xf numFmtId="0" fontId="14" fillId="0" borderId="12" xfId="0" applyFont="1" applyBorder="1" applyAlignment="1">
      <alignment vertical="center" wrapText="1"/>
    </xf>
    <xf numFmtId="0" fontId="59" fillId="0" borderId="11" xfId="0" applyFont="1" applyBorder="1" applyAlignment="1" applyProtection="1">
      <alignment horizontal="left" vertical="center" wrapText="1"/>
      <protection locked="0"/>
    </xf>
    <xf numFmtId="3" fontId="58" fillId="0" borderId="96" xfId="0" applyNumberFormat="1" applyFont="1" applyBorder="1" applyAlignment="1">
      <alignment horizontal="center" vertical="center"/>
    </xf>
    <xf numFmtId="0" fontId="59" fillId="6" borderId="97" xfId="0" applyFont="1" applyFill="1" applyBorder="1" applyAlignment="1">
      <alignment horizontal="left" vertical="center" wrapText="1"/>
    </xf>
    <xf numFmtId="0" fontId="14" fillId="0" borderId="12" xfId="0" applyFont="1" applyBorder="1" applyAlignment="1">
      <alignment horizontal="left" vertical="center" wrapText="1"/>
    </xf>
    <xf numFmtId="0" fontId="14" fillId="0" borderId="39" xfId="0" applyFont="1" applyBorder="1" applyAlignment="1" applyProtection="1">
      <alignment vertical="center" wrapText="1"/>
      <protection locked="0"/>
    </xf>
    <xf numFmtId="49" fontId="59" fillId="6" borderId="13" xfId="0" applyNumberFormat="1" applyFont="1" applyFill="1" applyBorder="1" applyAlignment="1">
      <alignment horizontal="left" vertical="center" wrapText="1"/>
    </xf>
    <xf numFmtId="0" fontId="14" fillId="0" borderId="23" xfId="0" applyFont="1" applyBorder="1" applyAlignment="1">
      <alignment vertical="center" wrapText="1"/>
    </xf>
    <xf numFmtId="0" fontId="14" fillId="6" borderId="12" xfId="0" applyFont="1" applyFill="1" applyBorder="1" applyAlignment="1" applyProtection="1">
      <alignment vertical="center" wrapText="1"/>
      <protection locked="0"/>
    </xf>
    <xf numFmtId="0" fontId="14" fillId="6" borderId="12" xfId="0" applyFont="1" applyFill="1" applyBorder="1" applyAlignment="1" applyProtection="1">
      <alignment horizontal="left" vertical="center" wrapText="1"/>
      <protection locked="0"/>
    </xf>
    <xf numFmtId="49" fontId="125" fillId="6" borderId="12" xfId="0" applyNumberFormat="1" applyFont="1" applyFill="1" applyBorder="1" applyAlignment="1">
      <alignment horizontal="center" vertical="center" wrapText="1"/>
    </xf>
    <xf numFmtId="49" fontId="14" fillId="0" borderId="1" xfId="0" applyNumberFormat="1" applyFont="1" applyBorder="1" applyAlignment="1">
      <alignment horizontal="center" vertical="center" shrinkToFit="1"/>
    </xf>
    <xf numFmtId="49" fontId="14" fillId="0" borderId="12" xfId="0" applyNumberFormat="1" applyFont="1" applyBorder="1" applyAlignment="1">
      <alignment horizontal="center" vertical="center" shrinkToFit="1"/>
    </xf>
    <xf numFmtId="49" fontId="126" fillId="0" borderId="78" xfId="0" applyNumberFormat="1" applyFont="1" applyBorder="1" applyAlignment="1">
      <alignment vertical="center" wrapText="1"/>
    </xf>
    <xf numFmtId="0" fontId="14" fillId="0" borderId="78" xfId="0" applyFont="1" applyBorder="1" applyAlignment="1">
      <alignment vertical="top" wrapText="1"/>
    </xf>
    <xf numFmtId="0" fontId="14" fillId="0" borderId="78" xfId="0" applyFont="1" applyBorder="1" applyAlignment="1" applyProtection="1">
      <alignment horizontal="center" vertical="center" wrapText="1"/>
      <protection locked="0"/>
    </xf>
    <xf numFmtId="4" fontId="58" fillId="0" borderId="23" xfId="0" applyNumberFormat="1" applyFont="1" applyBorder="1" applyAlignment="1">
      <alignment horizontal="center" vertical="center"/>
    </xf>
    <xf numFmtId="0" fontId="14" fillId="0" borderId="59" xfId="0" applyFont="1" applyBorder="1" applyAlignment="1">
      <alignment horizontal="center" vertical="center" wrapText="1"/>
    </xf>
    <xf numFmtId="3" fontId="14" fillId="0" borderId="23" xfId="0" applyNumberFormat="1" applyFont="1" applyBorder="1" applyAlignment="1">
      <alignment horizontal="center" vertical="center"/>
    </xf>
    <xf numFmtId="0" fontId="14" fillId="0" borderId="23" xfId="0" applyFont="1" applyBorder="1" applyAlignment="1">
      <alignment horizontal="left" vertical="center" wrapText="1"/>
    </xf>
    <xf numFmtId="0" fontId="59" fillId="0" borderId="61" xfId="0" applyFont="1" applyBorder="1" applyAlignment="1">
      <alignment horizontal="left" vertical="center" wrapText="1"/>
    </xf>
    <xf numFmtId="0" fontId="14" fillId="0" borderId="61" xfId="0" applyFont="1" applyBorder="1" applyAlignment="1">
      <alignment horizontal="center" vertical="center" wrapText="1"/>
    </xf>
    <xf numFmtId="0" fontId="58" fillId="6" borderId="45" xfId="0" applyFont="1" applyFill="1" applyBorder="1" applyAlignment="1">
      <alignment vertical="center" wrapText="1"/>
    </xf>
    <xf numFmtId="49" fontId="128" fillId="3" borderId="68" xfId="0" applyNumberFormat="1" applyFont="1" applyFill="1" applyBorder="1" applyAlignment="1">
      <alignment horizontal="center" vertical="center" shrinkToFit="1"/>
    </xf>
    <xf numFmtId="3" fontId="105" fillId="6" borderId="49" xfId="0" applyNumberFormat="1" applyFont="1" applyFill="1" applyBorder="1" applyAlignment="1">
      <alignment horizontal="center" vertical="center"/>
    </xf>
    <xf numFmtId="0" fontId="60" fillId="6" borderId="49" xfId="0" applyFont="1" applyFill="1" applyBorder="1" applyAlignment="1">
      <alignment horizontal="left" vertical="center" wrapText="1"/>
    </xf>
    <xf numFmtId="0" fontId="60" fillId="6" borderId="49" xfId="0" applyFont="1" applyFill="1" applyBorder="1" applyAlignment="1">
      <alignment horizontal="left" vertical="top" wrapText="1"/>
    </xf>
    <xf numFmtId="0" fontId="60" fillId="6" borderId="49" xfId="129" applyFont="1" applyFill="1" applyBorder="1" applyAlignment="1">
      <alignment horizontal="left" vertical="top" wrapText="1"/>
    </xf>
    <xf numFmtId="0" fontId="60" fillId="6" borderId="49" xfId="0" applyFont="1" applyFill="1" applyBorder="1" applyAlignment="1">
      <alignment horizontal="center" vertical="center" wrapText="1"/>
    </xf>
    <xf numFmtId="3" fontId="131" fillId="6" borderId="49" xfId="0" applyNumberFormat="1" applyFont="1" applyFill="1" applyBorder="1" applyAlignment="1">
      <alignment horizontal="center" vertical="center"/>
    </xf>
    <xf numFmtId="0" fontId="60" fillId="6" borderId="49" xfId="0" applyFont="1" applyFill="1" applyBorder="1" applyAlignment="1">
      <alignment vertical="top" wrapText="1"/>
    </xf>
    <xf numFmtId="0" fontId="129" fillId="0" borderId="49" xfId="0" applyFont="1" applyBorder="1" applyAlignment="1">
      <alignment horizontal="center" vertical="center" wrapText="1"/>
    </xf>
    <xf numFmtId="3" fontId="130" fillId="6" borderId="49" xfId="0" applyNumberFormat="1" applyFont="1" applyFill="1" applyBorder="1" applyAlignment="1">
      <alignment horizontal="center" vertical="center"/>
    </xf>
    <xf numFmtId="49" fontId="131" fillId="6" borderId="49" xfId="0" applyNumberFormat="1" applyFont="1" applyFill="1" applyBorder="1" applyAlignment="1">
      <alignment horizontal="left" vertical="center" wrapText="1"/>
    </xf>
    <xf numFmtId="0" fontId="60" fillId="0" borderId="49" xfId="0" applyFont="1" applyBorder="1" applyAlignment="1">
      <alignment vertical="top" wrapText="1"/>
    </xf>
    <xf numFmtId="0" fontId="60" fillId="0" borderId="49" xfId="0" applyFont="1" applyBorder="1" applyAlignment="1" applyProtection="1">
      <alignment horizontal="center" vertical="center" wrapText="1"/>
      <protection locked="0"/>
    </xf>
    <xf numFmtId="0" fontId="14" fillId="0" borderId="0" xfId="0" applyFont="1" applyAlignment="1">
      <alignment vertical="center"/>
    </xf>
    <xf numFmtId="0" fontId="60" fillId="6" borderId="49" xfId="0" applyFont="1" applyFill="1" applyBorder="1" applyAlignment="1" applyProtection="1">
      <alignment vertical="top" wrapText="1"/>
      <protection locked="0"/>
    </xf>
    <xf numFmtId="0" fontId="60" fillId="6" borderId="49" xfId="0" applyFont="1" applyFill="1" applyBorder="1" applyAlignment="1" applyProtection="1">
      <alignment horizontal="left" vertical="top" wrapText="1"/>
      <protection locked="0"/>
    </xf>
    <xf numFmtId="0" fontId="132" fillId="0" borderId="49" xfId="129" applyFont="1" applyBorder="1" applyAlignment="1" applyProtection="1">
      <alignment vertical="top" wrapText="1"/>
      <protection locked="0"/>
    </xf>
    <xf numFmtId="0" fontId="60" fillId="0" borderId="49" xfId="129" applyFont="1" applyBorder="1" applyAlignment="1" applyProtection="1">
      <alignment horizontal="left" vertical="top" wrapText="1"/>
      <protection locked="0"/>
    </xf>
    <xf numFmtId="0" fontId="60" fillId="0" borderId="49" xfId="129" applyFont="1" applyBorder="1" applyAlignment="1">
      <alignment horizontal="center" vertical="center" wrapText="1"/>
    </xf>
    <xf numFmtId="3" fontId="105" fillId="6" borderId="49" xfId="129" applyNumberFormat="1" applyFont="1" applyFill="1" applyBorder="1" applyAlignment="1" applyProtection="1">
      <alignment horizontal="center" vertical="center"/>
      <protection locked="0"/>
    </xf>
    <xf numFmtId="0" fontId="60" fillId="6" borderId="49" xfId="129" applyFont="1" applyFill="1" applyBorder="1" applyAlignment="1">
      <alignment horizontal="left" vertical="center" wrapText="1"/>
    </xf>
    <xf numFmtId="3" fontId="129" fillId="7" borderId="49" xfId="0" applyNumberFormat="1" applyFont="1" applyFill="1" applyBorder="1" applyAlignment="1">
      <alignment horizontal="center" vertical="center" shrinkToFit="1"/>
    </xf>
    <xf numFmtId="0" fontId="60" fillId="0" borderId="49" xfId="129" applyFont="1" applyBorder="1" applyAlignment="1">
      <alignment vertical="top" wrapText="1"/>
    </xf>
    <xf numFmtId="0" fontId="60" fillId="0" borderId="49" xfId="129" applyFont="1" applyBorder="1" applyAlignment="1">
      <alignment horizontal="left" vertical="top" wrapText="1"/>
    </xf>
    <xf numFmtId="0" fontId="60" fillId="0" borderId="49" xfId="0" applyFont="1" applyBorder="1" applyAlignment="1">
      <alignment horizontal="center" vertical="center"/>
    </xf>
    <xf numFmtId="3" fontId="105" fillId="0" borderId="49" xfId="0" applyNumberFormat="1" applyFont="1" applyBorder="1" applyAlignment="1">
      <alignment horizontal="center" vertical="center"/>
    </xf>
    <xf numFmtId="0" fontId="60" fillId="0" borderId="48" xfId="0" applyFont="1" applyBorder="1" applyAlignment="1">
      <alignment horizontal="left" vertical="center" wrapText="1"/>
    </xf>
    <xf numFmtId="0" fontId="60" fillId="6" borderId="48" xfId="0" applyFont="1" applyFill="1" applyBorder="1" applyAlignment="1">
      <alignment horizontal="center" vertical="center" wrapText="1"/>
    </xf>
    <xf numFmtId="0" fontId="132" fillId="0" borderId="52" xfId="129" applyFont="1" applyBorder="1" applyAlignment="1" applyProtection="1">
      <alignment vertical="top" wrapText="1"/>
      <protection locked="0"/>
    </xf>
    <xf numFmtId="0" fontId="60" fillId="0" borderId="53" xfId="129" applyFont="1" applyBorder="1" applyAlignment="1" applyProtection="1">
      <alignment horizontal="left" vertical="top" wrapText="1"/>
      <protection locked="0"/>
    </xf>
    <xf numFmtId="0" fontId="60" fillId="0" borderId="53" xfId="129" applyFont="1" applyBorder="1" applyAlignment="1" applyProtection="1">
      <alignment horizontal="center" vertical="center" wrapText="1"/>
      <protection locked="0"/>
    </xf>
    <xf numFmtId="0" fontId="60" fillId="0" borderId="49" xfId="0" applyFont="1" applyBorder="1" applyAlignment="1">
      <alignment horizontal="center" vertical="center" wrapText="1"/>
    </xf>
    <xf numFmtId="0" fontId="60" fillId="0" borderId="54" xfId="0" applyFont="1" applyBorder="1" applyAlignment="1">
      <alignment vertical="top" wrapText="1"/>
    </xf>
    <xf numFmtId="0" fontId="60" fillId="0" borderId="54" xfId="0" applyFont="1" applyBorder="1" applyAlignment="1">
      <alignment horizontal="center" vertical="center"/>
    </xf>
    <xf numFmtId="0" fontId="14" fillId="0" borderId="49" xfId="0" applyFont="1" applyBorder="1" applyAlignment="1">
      <alignment vertical="top" wrapText="1"/>
    </xf>
    <xf numFmtId="3" fontId="105" fillId="6" borderId="87" xfId="0" applyNumberFormat="1" applyFont="1" applyFill="1" applyBorder="1" applyAlignment="1">
      <alignment horizontal="center" vertical="center"/>
    </xf>
    <xf numFmtId="49" fontId="60" fillId="6" borderId="87" xfId="0" applyNumberFormat="1" applyFont="1" applyFill="1" applyBorder="1" applyAlignment="1">
      <alignment horizontal="left" vertical="center" wrapText="1" readingOrder="1"/>
    </xf>
    <xf numFmtId="0" fontId="60" fillId="0" borderId="87" xfId="0" applyFont="1" applyBorder="1" applyAlignment="1" applyProtection="1">
      <alignment horizontal="center" vertical="center" wrapText="1"/>
      <protection locked="0"/>
    </xf>
    <xf numFmtId="0" fontId="60" fillId="0" borderId="23" xfId="0" applyFont="1" applyBorder="1" applyAlignment="1">
      <alignment horizontal="center" vertical="center"/>
    </xf>
    <xf numFmtId="3" fontId="105" fillId="35" borderId="35" xfId="0" applyNumberFormat="1" applyFont="1" applyFill="1" applyBorder="1" applyAlignment="1">
      <alignment horizontal="center" vertical="center"/>
    </xf>
    <xf numFmtId="3" fontId="105" fillId="45" borderId="35" xfId="0" applyNumberFormat="1" applyFont="1" applyFill="1" applyBorder="1" applyAlignment="1">
      <alignment horizontal="center" vertical="center"/>
    </xf>
    <xf numFmtId="0" fontId="60" fillId="6" borderId="23" xfId="0" applyFont="1" applyFill="1" applyBorder="1" applyAlignment="1">
      <alignment horizontal="center" vertical="center"/>
    </xf>
    <xf numFmtId="0" fontId="60" fillId="0" borderId="23" xfId="0" applyFont="1" applyBorder="1" applyAlignment="1">
      <alignment vertical="top" wrapText="1"/>
    </xf>
    <xf numFmtId="3" fontId="131" fillId="6" borderId="87" xfId="0" applyNumberFormat="1" applyFont="1" applyFill="1" applyBorder="1" applyAlignment="1">
      <alignment horizontal="center" vertical="center"/>
    </xf>
    <xf numFmtId="49" fontId="93" fillId="6" borderId="87" xfId="0" applyNumberFormat="1" applyFont="1" applyFill="1" applyBorder="1" applyAlignment="1">
      <alignment horizontal="left" vertical="top" wrapText="1"/>
    </xf>
    <xf numFmtId="49" fontId="93" fillId="6" borderId="87" xfId="0" applyNumberFormat="1" applyFont="1" applyFill="1" applyBorder="1" applyAlignment="1">
      <alignment horizontal="center" vertical="center"/>
    </xf>
    <xf numFmtId="3" fontId="93" fillId="6" borderId="49" xfId="0" applyNumberFormat="1" applyFont="1" applyFill="1" applyBorder="1" applyAlignment="1">
      <alignment horizontal="left" vertical="center" wrapText="1"/>
    </xf>
    <xf numFmtId="0" fontId="14" fillId="0" borderId="0" xfId="0" applyFont="1" applyAlignment="1">
      <alignment vertical="top" wrapText="1"/>
    </xf>
    <xf numFmtId="0" fontId="14" fillId="6" borderId="49" xfId="0" applyFont="1" applyFill="1" applyBorder="1" applyAlignment="1">
      <alignment horizontal="left" vertical="center" wrapText="1"/>
    </xf>
    <xf numFmtId="0" fontId="58" fillId="6" borderId="0" xfId="0" applyFont="1" applyFill="1" applyAlignment="1">
      <alignment vertical="center" wrapText="1"/>
    </xf>
    <xf numFmtId="49" fontId="59" fillId="6" borderId="77" xfId="0" applyNumberFormat="1" applyFont="1" applyFill="1" applyBorder="1" applyAlignment="1">
      <alignment horizontal="center" vertical="center" wrapText="1"/>
    </xf>
    <xf numFmtId="3" fontId="62" fillId="6" borderId="77" xfId="0" applyNumberFormat="1" applyFont="1" applyFill="1" applyBorder="1" applyAlignment="1">
      <alignment horizontal="center" vertical="center" wrapText="1"/>
    </xf>
    <xf numFmtId="3" fontId="62" fillId="6" borderId="77" xfId="0" applyNumberFormat="1" applyFont="1" applyFill="1" applyBorder="1" applyAlignment="1">
      <alignment horizontal="center" vertical="center"/>
    </xf>
    <xf numFmtId="49" fontId="59" fillId="6" borderId="94" xfId="0" applyNumberFormat="1" applyFont="1" applyFill="1" applyBorder="1" applyAlignment="1">
      <alignment horizontal="left" vertical="center" wrapText="1"/>
    </xf>
    <xf numFmtId="3" fontId="105" fillId="6" borderId="49" xfId="0" applyNumberFormat="1" applyFont="1" applyFill="1" applyBorder="1" applyAlignment="1">
      <alignment horizontal="center" vertical="center" shrinkToFit="1"/>
    </xf>
    <xf numFmtId="3" fontId="58" fillId="6" borderId="49" xfId="0" applyNumberFormat="1" applyFont="1" applyFill="1" applyBorder="1" applyAlignment="1">
      <alignment horizontal="center" vertical="center" shrinkToFit="1"/>
    </xf>
    <xf numFmtId="0" fontId="14" fillId="6" borderId="84" xfId="0" applyFont="1" applyFill="1" applyBorder="1" applyAlignment="1" applyProtection="1">
      <alignment vertical="top" wrapText="1"/>
      <protection locked="0"/>
    </xf>
    <xf numFmtId="0" fontId="14" fillId="6" borderId="84" xfId="0" applyFont="1" applyFill="1" applyBorder="1" applyAlignment="1" applyProtection="1">
      <alignment horizontal="center" vertical="center" wrapText="1"/>
      <protection locked="0"/>
    </xf>
    <xf numFmtId="3" fontId="105" fillId="6" borderId="84" xfId="0" applyNumberFormat="1" applyFont="1" applyFill="1" applyBorder="1" applyAlignment="1">
      <alignment horizontal="center" vertical="center" shrinkToFit="1"/>
    </xf>
    <xf numFmtId="0" fontId="14" fillId="6" borderId="59" xfId="0" applyFont="1" applyFill="1" applyBorder="1" applyAlignment="1">
      <alignment vertical="top" wrapText="1"/>
    </xf>
    <xf numFmtId="0" fontId="59" fillId="0" borderId="12" xfId="0" applyFont="1" applyBorder="1" applyAlignment="1">
      <alignment horizontal="left" vertical="center" wrapText="1"/>
    </xf>
    <xf numFmtId="0" fontId="14" fillId="6" borderId="49" xfId="0" applyFont="1" applyFill="1" applyBorder="1" applyAlignment="1" applyProtection="1">
      <alignment horizontal="left" vertical="center" wrapText="1"/>
      <protection locked="0"/>
    </xf>
    <xf numFmtId="0" fontId="14" fillId="6" borderId="84" xfId="0" applyFont="1" applyFill="1" applyBorder="1" applyAlignment="1" applyProtection="1">
      <alignment vertical="center" wrapText="1"/>
      <protection locked="0"/>
    </xf>
    <xf numFmtId="0" fontId="60" fillId="6" borderId="23" xfId="0" applyFont="1" applyFill="1" applyBorder="1" applyAlignment="1">
      <alignment vertical="center" wrapText="1"/>
    </xf>
    <xf numFmtId="166" fontId="58" fillId="0" borderId="23" xfId="0" applyNumberFormat="1" applyFont="1" applyBorder="1" applyAlignment="1">
      <alignment horizontal="center" vertical="center"/>
    </xf>
    <xf numFmtId="0" fontId="60" fillId="0" borderId="49" xfId="0" applyFont="1" applyBorder="1" applyAlignment="1" applyProtection="1">
      <alignment vertical="top" wrapText="1"/>
      <protection locked="0"/>
    </xf>
    <xf numFmtId="0" fontId="60" fillId="0" borderId="49" xfId="0" applyFont="1" applyBorder="1" applyAlignment="1" applyProtection="1">
      <alignment horizontal="left" vertical="top" wrapText="1"/>
      <protection locked="0"/>
    </xf>
    <xf numFmtId="0" fontId="60" fillId="0" borderId="49" xfId="0" applyFont="1" applyBorder="1" applyAlignment="1">
      <alignment horizontal="left" vertical="center" wrapText="1"/>
    </xf>
    <xf numFmtId="0" fontId="60" fillId="0" borderId="99" xfId="0" applyFont="1" applyBorder="1" applyAlignment="1">
      <alignment vertical="top" wrapText="1"/>
    </xf>
    <xf numFmtId="0" fontId="60" fillId="0" borderId="99" xfId="0" applyFont="1" applyBorder="1" applyAlignment="1" applyProtection="1">
      <alignment horizontal="left" vertical="top" wrapText="1"/>
      <protection locked="0"/>
    </xf>
    <xf numFmtId="0" fontId="60" fillId="0" borderId="99" xfId="0" applyFont="1" applyBorder="1" applyAlignment="1" applyProtection="1">
      <alignment horizontal="center" vertical="center" wrapText="1"/>
      <protection locked="0"/>
    </xf>
    <xf numFmtId="0" fontId="60" fillId="0" borderId="99" xfId="0" applyFont="1" applyBorder="1" applyAlignment="1">
      <alignment horizontal="left" vertical="center" wrapText="1"/>
    </xf>
    <xf numFmtId="0" fontId="105" fillId="6" borderId="99" xfId="0" applyFont="1" applyFill="1" applyBorder="1" applyAlignment="1" applyProtection="1">
      <alignment horizontal="center" vertical="center" wrapText="1"/>
      <protection locked="0"/>
    </xf>
    <xf numFmtId="0" fontId="60" fillId="0" borderId="94" xfId="129" applyFont="1" applyBorder="1" applyAlignment="1" applyProtection="1">
      <alignment horizontal="left" vertical="top" wrapText="1"/>
      <protection locked="0"/>
    </xf>
    <xf numFmtId="0" fontId="60" fillId="0" borderId="94" xfId="129" applyFont="1" applyBorder="1" applyAlignment="1" applyProtection="1">
      <alignment horizontal="center" vertical="center" wrapText="1"/>
      <protection locked="0"/>
    </xf>
    <xf numFmtId="49" fontId="93" fillId="6" borderId="94" xfId="0" applyNumberFormat="1" applyFont="1" applyFill="1" applyBorder="1" applyAlignment="1">
      <alignment horizontal="left" vertical="top" wrapText="1"/>
    </xf>
    <xf numFmtId="49" fontId="93" fillId="6" borderId="94" xfId="0" applyNumberFormat="1" applyFont="1" applyFill="1" applyBorder="1" applyAlignment="1">
      <alignment horizontal="center" vertical="center"/>
    </xf>
    <xf numFmtId="0" fontId="131" fillId="6" borderId="94" xfId="0" applyFont="1" applyFill="1" applyBorder="1" applyAlignment="1">
      <alignment horizontal="center" vertical="center"/>
    </xf>
    <xf numFmtId="3" fontId="105" fillId="6" borderId="99" xfId="0" applyNumberFormat="1" applyFont="1" applyFill="1" applyBorder="1" applyAlignment="1">
      <alignment horizontal="center" vertical="center" shrinkToFit="1"/>
    </xf>
    <xf numFmtId="0" fontId="93" fillId="6" borderId="99" xfId="0" applyFont="1" applyFill="1" applyBorder="1" applyAlignment="1">
      <alignment horizontal="left" vertical="center" wrapText="1"/>
    </xf>
    <xf numFmtId="0" fontId="58" fillId="0" borderId="12" xfId="0" applyFont="1" applyBorder="1" applyAlignment="1" applyProtection="1">
      <alignment horizontal="center" vertical="center" wrapText="1"/>
      <protection locked="0"/>
    </xf>
    <xf numFmtId="49" fontId="14" fillId="0" borderId="12" xfId="0" applyNumberFormat="1" applyFont="1" applyBorder="1" applyAlignment="1">
      <alignment horizontal="left" vertical="center" wrapText="1" readingOrder="1"/>
    </xf>
    <xf numFmtId="49" fontId="14" fillId="0" borderId="57" xfId="0" applyNumberFormat="1" applyFont="1" applyBorder="1" applyAlignment="1">
      <alignment horizontal="center" vertical="center" shrinkToFit="1"/>
    </xf>
    <xf numFmtId="49" fontId="14" fillId="0" borderId="70" xfId="0" applyNumberFormat="1" applyFont="1" applyBorder="1" applyAlignment="1">
      <alignment horizontal="center" vertical="center" shrinkToFit="1"/>
    </xf>
    <xf numFmtId="49" fontId="14" fillId="0" borderId="23" xfId="0" applyNumberFormat="1" applyFont="1" applyBorder="1" applyAlignment="1">
      <alignment horizontal="center" vertical="center" shrinkToFit="1"/>
    </xf>
    <xf numFmtId="4" fontId="58" fillId="0" borderId="12" xfId="0" applyNumberFormat="1" applyFont="1" applyBorder="1" applyAlignment="1">
      <alignment horizontal="center" vertical="center" shrinkToFit="1"/>
    </xf>
    <xf numFmtId="3" fontId="58" fillId="0" borderId="87" xfId="0" applyNumberFormat="1" applyFont="1" applyBorder="1" applyAlignment="1">
      <alignment horizontal="center" vertical="center" shrinkToFit="1"/>
    </xf>
    <xf numFmtId="49" fontId="59" fillId="0" borderId="12" xfId="0" applyNumberFormat="1"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wrapText="1"/>
      <protection locked="0"/>
    </xf>
    <xf numFmtId="3" fontId="58" fillId="0" borderId="12" xfId="0" applyNumberFormat="1" applyFont="1" applyBorder="1" applyAlignment="1">
      <alignment horizontal="center" vertical="center" wrapText="1"/>
    </xf>
    <xf numFmtId="3" fontId="58" fillId="0" borderId="70" xfId="0" applyNumberFormat="1" applyFont="1" applyBorder="1" applyAlignment="1">
      <alignment horizontal="center" vertical="center" shrinkToFit="1"/>
    </xf>
    <xf numFmtId="49" fontId="64" fillId="6" borderId="54" xfId="0" applyNumberFormat="1" applyFont="1" applyFill="1" applyBorder="1" applyAlignment="1">
      <alignment vertical="center" wrapText="1"/>
    </xf>
    <xf numFmtId="49" fontId="64" fillId="6" borderId="54" xfId="0" applyNumberFormat="1" applyFont="1" applyFill="1" applyBorder="1" applyAlignment="1">
      <alignment horizontal="left" vertical="center" wrapText="1"/>
    </xf>
    <xf numFmtId="49" fontId="64" fillId="36" borderId="23" xfId="0" applyNumberFormat="1" applyFont="1" applyFill="1" applyBorder="1" applyAlignment="1">
      <alignment vertical="center" wrapText="1"/>
    </xf>
    <xf numFmtId="49" fontId="59" fillId="6" borderId="58" xfId="0" applyNumberFormat="1" applyFont="1" applyFill="1" applyBorder="1" applyAlignment="1">
      <alignment horizontal="left" vertical="center" wrapText="1"/>
    </xf>
    <xf numFmtId="0" fontId="14" fillId="6" borderId="49" xfId="0" applyFont="1" applyFill="1" applyBorder="1" applyAlignment="1" applyProtection="1">
      <alignment vertical="center" wrapText="1"/>
      <protection locked="0"/>
    </xf>
    <xf numFmtId="49" fontId="59" fillId="6" borderId="77" xfId="0" applyNumberFormat="1" applyFont="1" applyFill="1" applyBorder="1" applyAlignment="1">
      <alignment horizontal="left" vertical="center" wrapText="1"/>
    </xf>
    <xf numFmtId="0" fontId="60" fillId="0" borderId="94" xfId="129" applyFont="1" applyBorder="1" applyAlignment="1" applyProtection="1">
      <alignment horizontal="left" vertical="center" wrapText="1"/>
      <protection locked="0"/>
    </xf>
    <xf numFmtId="0" fontId="14" fillId="6" borderId="12" xfId="26" applyFont="1" applyFill="1" applyBorder="1" applyAlignment="1">
      <alignment horizontal="left" vertical="center" wrapText="1"/>
    </xf>
    <xf numFmtId="0" fontId="14" fillId="6" borderId="12" xfId="129" applyFont="1" applyFill="1" applyBorder="1" applyAlignment="1">
      <alignment horizontal="left" vertical="center" wrapText="1"/>
    </xf>
    <xf numFmtId="0" fontId="14" fillId="6" borderId="58" xfId="0" applyFont="1" applyFill="1" applyBorder="1" applyAlignment="1" applyProtection="1">
      <alignment vertical="center" wrapText="1"/>
      <protection locked="0"/>
    </xf>
    <xf numFmtId="0" fontId="14" fillId="6" borderId="58" xfId="0" applyFont="1" applyFill="1" applyBorder="1" applyAlignment="1" applyProtection="1">
      <alignment horizontal="left" vertical="center" wrapText="1"/>
      <protection locked="0"/>
    </xf>
    <xf numFmtId="0" fontId="82" fillId="6" borderId="49" xfId="0" applyFont="1" applyFill="1" applyBorder="1" applyAlignment="1" applyProtection="1">
      <alignment vertical="center" wrapText="1"/>
      <protection locked="0"/>
    </xf>
    <xf numFmtId="3" fontId="62" fillId="6" borderId="44" xfId="0" applyNumberFormat="1" applyFont="1" applyFill="1" applyBorder="1" applyAlignment="1">
      <alignment horizontal="center" vertical="center" wrapText="1"/>
    </xf>
    <xf numFmtId="0" fontId="58" fillId="6" borderId="12" xfId="0" applyFont="1" applyFill="1" applyBorder="1" applyAlignment="1" applyProtection="1">
      <alignment horizontal="center" vertical="center" shrinkToFit="1"/>
      <protection locked="0"/>
    </xf>
    <xf numFmtId="1" fontId="58" fillId="6" borderId="72" xfId="129" applyNumberFormat="1" applyFont="1" applyFill="1" applyBorder="1" applyAlignment="1">
      <alignment horizontal="center" vertical="center" wrapText="1"/>
    </xf>
    <xf numFmtId="1" fontId="103" fillId="6" borderId="54" xfId="0" applyNumberFormat="1" applyFont="1" applyFill="1" applyBorder="1" applyAlignment="1">
      <alignment horizontal="center" vertical="center"/>
    </xf>
    <xf numFmtId="0" fontId="103" fillId="6" borderId="23" xfId="0" applyFont="1" applyFill="1" applyBorder="1" applyAlignment="1">
      <alignment horizontal="center" vertical="center"/>
    </xf>
    <xf numFmtId="0" fontId="62" fillId="6" borderId="12" xfId="0" applyFont="1" applyFill="1" applyBorder="1" applyAlignment="1">
      <alignment horizontal="center" vertical="center"/>
    </xf>
    <xf numFmtId="166" fontId="62" fillId="6" borderId="12" xfId="26" applyNumberFormat="1" applyFont="1" applyFill="1" applyBorder="1" applyAlignment="1">
      <alignment horizontal="center" vertical="center" shrinkToFit="1"/>
    </xf>
    <xf numFmtId="0" fontId="58" fillId="6" borderId="77" xfId="0" applyFont="1" applyFill="1" applyBorder="1" applyAlignment="1" applyProtection="1">
      <alignment horizontal="center" vertical="center" wrapText="1"/>
      <protection locked="0"/>
    </xf>
    <xf numFmtId="3" fontId="58" fillId="6" borderId="12" xfId="0" applyNumberFormat="1" applyFont="1" applyFill="1" applyBorder="1" applyAlignment="1" applyProtection="1">
      <alignment horizontal="center" vertical="center" wrapText="1"/>
      <protection locked="0"/>
    </xf>
    <xf numFmtId="166" fontId="131" fillId="6" borderId="49" xfId="0" applyNumberFormat="1" applyFont="1" applyFill="1" applyBorder="1" applyAlignment="1">
      <alignment horizontal="center" vertical="center"/>
    </xf>
    <xf numFmtId="1" fontId="58" fillId="6" borderId="12" xfId="0" applyNumberFormat="1" applyFont="1" applyFill="1" applyBorder="1" applyAlignment="1" applyProtection="1">
      <alignment horizontal="center" vertical="center" wrapText="1"/>
      <protection locked="0"/>
    </xf>
    <xf numFmtId="166" fontId="62" fillId="6" borderId="12" xfId="0" applyNumberFormat="1" applyFont="1" applyFill="1" applyBorder="1" applyAlignment="1">
      <alignment horizontal="center" vertical="center"/>
    </xf>
    <xf numFmtId="1" fontId="58" fillId="6" borderId="12" xfId="25" applyNumberFormat="1" applyFont="1" applyFill="1" applyBorder="1" applyAlignment="1" applyProtection="1">
      <alignment horizontal="center" vertical="center" shrinkToFit="1"/>
      <protection locked="0"/>
    </xf>
    <xf numFmtId="1" fontId="105" fillId="6" borderId="49" xfId="129" applyNumberFormat="1" applyFont="1" applyFill="1" applyBorder="1" applyAlignment="1">
      <alignment horizontal="center" vertical="center" wrapText="1"/>
    </xf>
    <xf numFmtId="1" fontId="105" fillId="6" borderId="49" xfId="0" applyNumberFormat="1" applyFont="1" applyFill="1" applyBorder="1" applyAlignment="1" applyProtection="1">
      <alignment horizontal="center" vertical="center" wrapText="1"/>
      <protection locked="0"/>
    </xf>
    <xf numFmtId="3" fontId="105" fillId="6" borderId="49" xfId="0" applyNumberFormat="1" applyFont="1" applyFill="1" applyBorder="1" applyAlignment="1" applyProtection="1">
      <alignment horizontal="center" vertical="center" wrapText="1"/>
      <protection locked="0"/>
    </xf>
    <xf numFmtId="0" fontId="105" fillId="6" borderId="49" xfId="0" applyFont="1" applyFill="1" applyBorder="1" applyAlignment="1" applyProtection="1">
      <alignment horizontal="center" vertical="center" wrapText="1"/>
      <protection locked="0"/>
    </xf>
    <xf numFmtId="3" fontId="58" fillId="0" borderId="12" xfId="0" applyNumberFormat="1" applyFont="1" applyBorder="1" applyAlignment="1" applyProtection="1">
      <alignment horizontal="center" vertical="center" wrapText="1"/>
      <protection locked="0"/>
    </xf>
    <xf numFmtId="3" fontId="58" fillId="0" borderId="49" xfId="0" applyNumberFormat="1" applyFont="1" applyBorder="1" applyAlignment="1" applyProtection="1">
      <alignment horizontal="center" vertical="center" wrapText="1"/>
      <protection locked="0"/>
    </xf>
    <xf numFmtId="3" fontId="58" fillId="0" borderId="98" xfId="0" applyNumberFormat="1" applyFont="1" applyBorder="1" applyAlignment="1" applyProtection="1">
      <alignment horizontal="center" vertical="center" wrapText="1"/>
      <protection locked="0"/>
    </xf>
    <xf numFmtId="3" fontId="62" fillId="0" borderId="72" xfId="0" applyNumberFormat="1" applyFont="1" applyBorder="1" applyAlignment="1">
      <alignment horizontal="center" vertical="center"/>
    </xf>
    <xf numFmtId="3" fontId="58" fillId="0" borderId="80" xfId="0" applyNumberFormat="1" applyFont="1" applyBorder="1" applyAlignment="1">
      <alignment horizontal="center" vertical="center" shrinkToFit="1"/>
    </xf>
    <xf numFmtId="1" fontId="58" fillId="0" borderId="12" xfId="0" applyNumberFormat="1" applyFont="1" applyBorder="1" applyAlignment="1">
      <alignment horizontal="center" vertical="center" shrinkToFit="1"/>
    </xf>
    <xf numFmtId="1" fontId="58" fillId="0" borderId="87" xfId="0" applyNumberFormat="1" applyFont="1" applyBorder="1" applyAlignment="1">
      <alignment horizontal="center" vertical="center" shrinkToFit="1"/>
    </xf>
    <xf numFmtId="3" fontId="58" fillId="0" borderId="85" xfId="0" applyNumberFormat="1" applyFont="1" applyBorder="1" applyAlignment="1">
      <alignment horizontal="center" vertical="center" shrinkToFit="1"/>
    </xf>
    <xf numFmtId="3" fontId="105" fillId="0" borderId="86" xfId="0" applyNumberFormat="1" applyFont="1" applyBorder="1" applyAlignment="1">
      <alignment horizontal="center" vertical="center" shrinkToFit="1"/>
    </xf>
    <xf numFmtId="3" fontId="58" fillId="0" borderId="59" xfId="0" applyNumberFormat="1" applyFont="1" applyBorder="1" applyAlignment="1">
      <alignment horizontal="center" vertical="center"/>
    </xf>
    <xf numFmtId="0" fontId="58" fillId="6" borderId="12" xfId="0" applyFont="1" applyFill="1" applyBorder="1" applyAlignment="1">
      <alignment horizontal="center" vertical="center" wrapText="1"/>
    </xf>
    <xf numFmtId="49" fontId="14" fillId="0" borderId="49" xfId="0" applyNumberFormat="1" applyFont="1" applyBorder="1" applyAlignment="1">
      <alignment horizontal="center" vertical="center" shrinkToFit="1"/>
    </xf>
    <xf numFmtId="49" fontId="14" fillId="0" borderId="41" xfId="0" applyNumberFormat="1" applyFont="1" applyBorder="1" applyAlignment="1">
      <alignment horizontal="center" vertical="center" shrinkToFit="1"/>
    </xf>
    <xf numFmtId="49" fontId="14" fillId="0" borderId="76" xfId="0" applyNumberFormat="1" applyFont="1" applyBorder="1" applyAlignment="1">
      <alignment horizontal="center" vertical="center" shrinkToFit="1"/>
    </xf>
    <xf numFmtId="3" fontId="62" fillId="0" borderId="12" xfId="0" applyNumberFormat="1" applyFont="1" applyBorder="1" applyAlignment="1">
      <alignment horizontal="center" vertical="center" wrapText="1"/>
    </xf>
    <xf numFmtId="49" fontId="128" fillId="7" borderId="99" xfId="0" applyNumberFormat="1" applyFont="1" applyFill="1" applyBorder="1" applyAlignment="1">
      <alignment horizontal="center" vertical="center" shrinkToFit="1"/>
    </xf>
    <xf numFmtId="0" fontId="14" fillId="0" borderId="0" xfId="0" applyFont="1" applyAlignment="1">
      <alignment horizontal="left" vertical="top" wrapText="1"/>
    </xf>
    <xf numFmtId="49" fontId="108" fillId="3" borderId="38" xfId="0" applyNumberFormat="1" applyFont="1" applyFill="1" applyBorder="1" applyAlignment="1">
      <alignment horizontal="center" vertical="center" wrapText="1"/>
    </xf>
    <xf numFmtId="0" fontId="105" fillId="0" borderId="99" xfId="0" applyFont="1" applyBorder="1" applyAlignment="1" applyProtection="1">
      <alignment horizontal="center" vertical="center" wrapText="1"/>
      <protection locked="0"/>
    </xf>
    <xf numFmtId="0" fontId="14" fillId="0" borderId="78" xfId="0" applyFont="1" applyBorder="1" applyAlignment="1">
      <alignment horizontal="left" vertical="top" wrapText="1"/>
    </xf>
    <xf numFmtId="166" fontId="58" fillId="0" borderId="78" xfId="0" applyNumberFormat="1" applyFont="1" applyBorder="1" applyAlignment="1" applyProtection="1">
      <alignment horizontal="center" vertical="center" wrapText="1"/>
      <protection locked="0"/>
    </xf>
    <xf numFmtId="0" fontId="58" fillId="0" borderId="78" xfId="0" applyFont="1" applyBorder="1" applyAlignment="1" applyProtection="1">
      <alignment horizontal="center" vertical="center" wrapText="1"/>
      <protection locked="0"/>
    </xf>
    <xf numFmtId="0" fontId="14" fillId="0" borderId="49" xfId="0" applyFont="1" applyBorder="1" applyAlignment="1">
      <alignment horizontal="left" vertical="top" wrapText="1"/>
    </xf>
    <xf numFmtId="0" fontId="58" fillId="0" borderId="49" xfId="0" applyFont="1" applyBorder="1" applyAlignment="1" applyProtection="1">
      <alignment horizontal="center" vertical="center" wrapText="1"/>
      <protection locked="0"/>
    </xf>
    <xf numFmtId="166" fontId="58" fillId="0" borderId="12" xfId="0" applyNumberFormat="1" applyFont="1" applyBorder="1" applyAlignment="1" applyProtection="1">
      <alignment horizontal="center" vertical="center" wrapText="1"/>
      <protection locked="0"/>
    </xf>
    <xf numFmtId="49" fontId="14" fillId="6" borderId="99" xfId="0" applyNumberFormat="1" applyFont="1" applyFill="1" applyBorder="1" applyAlignment="1">
      <alignment horizontal="center" vertical="center" shrinkToFit="1"/>
    </xf>
    <xf numFmtId="49" fontId="14" fillId="0" borderId="99" xfId="0" applyNumberFormat="1" applyFont="1" applyBorder="1" applyAlignment="1">
      <alignment horizontal="center" vertical="center" shrinkToFit="1"/>
    </xf>
    <xf numFmtId="49" fontId="14" fillId="0" borderId="100" xfId="0" applyNumberFormat="1" applyFont="1" applyBorder="1" applyAlignment="1">
      <alignment horizontal="center" vertical="center" shrinkToFit="1"/>
    </xf>
    <xf numFmtId="49" fontId="14" fillId="0" borderId="48" xfId="0" applyNumberFormat="1" applyFont="1" applyBorder="1" applyAlignment="1">
      <alignment horizontal="center" vertical="center" shrinkToFit="1"/>
    </xf>
    <xf numFmtId="166" fontId="105" fillId="0" borderId="23" xfId="0" applyNumberFormat="1" applyFont="1" applyBorder="1" applyAlignment="1">
      <alignment horizontal="center" vertical="center"/>
    </xf>
    <xf numFmtId="0" fontId="14" fillId="0" borderId="61" xfId="0" applyFont="1" applyBorder="1" applyAlignment="1">
      <alignment vertical="center" wrapText="1"/>
    </xf>
    <xf numFmtId="0" fontId="59" fillId="0" borderId="61" xfId="0" applyFont="1" applyBorder="1" applyAlignment="1">
      <alignment vertical="center" wrapText="1"/>
    </xf>
    <xf numFmtId="0" fontId="14" fillId="0" borderId="61" xfId="0" applyFont="1" applyBorder="1" applyAlignment="1">
      <alignment horizontal="left" vertical="center" wrapText="1"/>
    </xf>
    <xf numFmtId="0" fontId="14" fillId="0" borderId="35" xfId="0" applyFont="1" applyBorder="1" applyAlignment="1">
      <alignment vertical="center" wrapText="1"/>
    </xf>
    <xf numFmtId="49" fontId="14" fillId="35" borderId="23" xfId="0" applyNumberFormat="1" applyFont="1" applyFill="1" applyBorder="1" applyAlignment="1">
      <alignment vertical="center" wrapText="1"/>
    </xf>
    <xf numFmtId="49" fontId="14" fillId="35" borderId="35" xfId="0" applyNumberFormat="1" applyFont="1" applyFill="1" applyBorder="1" applyAlignment="1">
      <alignment vertical="center" wrapText="1"/>
    </xf>
    <xf numFmtId="49" fontId="14" fillId="6" borderId="100" xfId="0" applyNumberFormat="1" applyFont="1" applyFill="1" applyBorder="1" applyAlignment="1">
      <alignment horizontal="center" vertical="center" shrinkToFit="1"/>
    </xf>
    <xf numFmtId="0" fontId="14" fillId="0" borderId="100" xfId="0" applyFont="1" applyBorder="1" applyAlignment="1">
      <alignment vertical="top" wrapText="1"/>
    </xf>
    <xf numFmtId="0" fontId="14" fillId="6" borderId="100" xfId="0" applyFont="1" applyFill="1" applyBorder="1" applyAlignment="1">
      <alignment horizontal="left" vertical="top" wrapText="1"/>
    </xf>
    <xf numFmtId="0" fontId="14" fillId="6" borderId="100" xfId="0" applyFont="1" applyFill="1" applyBorder="1" applyAlignment="1">
      <alignment horizontal="center" vertical="center" shrinkToFit="1"/>
    </xf>
    <xf numFmtId="3" fontId="58" fillId="0" borderId="100" xfId="0" applyNumberFormat="1" applyFont="1" applyBorder="1" applyAlignment="1">
      <alignment horizontal="center" vertical="center" shrinkToFit="1"/>
    </xf>
    <xf numFmtId="3" fontId="14" fillId="6" borderId="101" xfId="0" applyNumberFormat="1" applyFont="1" applyFill="1" applyBorder="1" applyAlignment="1">
      <alignment horizontal="center" vertical="center"/>
    </xf>
    <xf numFmtId="3" fontId="58" fillId="0" borderId="54" xfId="0" applyNumberFormat="1" applyFont="1" applyBorder="1" applyAlignment="1">
      <alignment horizontal="center" vertical="center"/>
    </xf>
    <xf numFmtId="0" fontId="14" fillId="0" borderId="99" xfId="0" applyFont="1" applyBorder="1" applyAlignment="1">
      <alignment vertical="top" wrapText="1"/>
    </xf>
    <xf numFmtId="0" fontId="14" fillId="6" borderId="99" xfId="0" applyFont="1" applyFill="1" applyBorder="1" applyAlignment="1">
      <alignment horizontal="left" vertical="top" wrapText="1"/>
    </xf>
    <xf numFmtId="0" fontId="14" fillId="6" borderId="99" xfId="0" applyFont="1" applyFill="1" applyBorder="1" applyAlignment="1">
      <alignment horizontal="center" vertical="center" shrinkToFit="1"/>
    </xf>
    <xf numFmtId="3" fontId="58" fillId="0" borderId="99" xfId="0" applyNumberFormat="1" applyFont="1" applyBorder="1" applyAlignment="1">
      <alignment horizontal="center" vertical="center" shrinkToFit="1"/>
    </xf>
    <xf numFmtId="3" fontId="14" fillId="6" borderId="99" xfId="0" applyNumberFormat="1" applyFont="1" applyFill="1" applyBorder="1" applyAlignment="1">
      <alignment horizontal="center" vertical="center"/>
    </xf>
    <xf numFmtId="3" fontId="58" fillId="0" borderId="99" xfId="0" applyNumberFormat="1" applyFont="1" applyBorder="1" applyAlignment="1">
      <alignment horizontal="center" vertical="center"/>
    </xf>
    <xf numFmtId="0" fontId="14" fillId="6" borderId="99" xfId="0" applyFont="1" applyFill="1" applyBorder="1" applyAlignment="1">
      <alignment horizontal="left" vertical="center" wrapText="1"/>
    </xf>
    <xf numFmtId="0" fontId="14" fillId="0" borderId="39" xfId="0" applyFont="1" applyBorder="1" applyAlignment="1">
      <alignment horizontal="left" vertical="center" wrapText="1"/>
    </xf>
    <xf numFmtId="49" fontId="57" fillId="6" borderId="12" xfId="0" applyNumberFormat="1" applyFont="1" applyFill="1" applyBorder="1" applyAlignment="1">
      <alignment horizontal="left" vertical="center" wrapText="1"/>
    </xf>
    <xf numFmtId="49" fontId="59" fillId="6" borderId="12" xfId="0" applyNumberFormat="1" applyFont="1" applyFill="1" applyBorder="1" applyAlignment="1">
      <alignment vertical="center" wrapText="1"/>
    </xf>
    <xf numFmtId="0" fontId="14" fillId="6" borderId="42" xfId="0" applyFont="1" applyFill="1" applyBorder="1" applyAlignment="1">
      <alignment vertical="center" wrapText="1"/>
    </xf>
    <xf numFmtId="3" fontId="138" fillId="0" borderId="0" xfId="138" applyNumberFormat="1" applyFont="1" applyAlignment="1">
      <alignment vertical="center" shrinkToFit="1"/>
    </xf>
    <xf numFmtId="3" fontId="138" fillId="10" borderId="0" xfId="138" applyNumberFormat="1" applyFont="1" applyFill="1" applyAlignment="1">
      <alignment vertical="center" shrinkToFit="1"/>
    </xf>
    <xf numFmtId="0" fontId="137" fillId="0" borderId="0" xfId="138" applyFont="1" applyAlignment="1">
      <alignment vertical="center" wrapText="1"/>
    </xf>
    <xf numFmtId="0" fontId="137" fillId="10" borderId="0" xfId="138" applyFont="1" applyFill="1" applyAlignment="1">
      <alignment horizontal="center" vertical="center" wrapText="1"/>
    </xf>
    <xf numFmtId="0" fontId="137" fillId="10" borderId="0" xfId="138" applyFont="1" applyFill="1" applyAlignment="1">
      <alignment horizontal="left" vertical="center"/>
    </xf>
    <xf numFmtId="0" fontId="139" fillId="0" borderId="0" xfId="0" applyFont="1" applyAlignment="1">
      <alignment vertical="center"/>
    </xf>
    <xf numFmtId="0" fontId="137" fillId="0" borderId="0" xfId="138" applyFont="1" applyAlignment="1">
      <alignment horizontal="left" vertical="center"/>
    </xf>
    <xf numFmtId="0" fontId="138" fillId="10" borderId="0" xfId="138" applyFont="1" applyFill="1" applyAlignment="1">
      <alignment horizontal="left" vertical="center" wrapText="1"/>
    </xf>
    <xf numFmtId="1" fontId="137" fillId="10" borderId="0" xfId="138" applyNumberFormat="1" applyFont="1" applyFill="1" applyAlignment="1">
      <alignment vertical="center" wrapText="1"/>
    </xf>
    <xf numFmtId="3" fontId="139" fillId="0" borderId="0" xfId="0" applyNumberFormat="1" applyFont="1" applyAlignment="1">
      <alignment vertical="center"/>
    </xf>
    <xf numFmtId="3" fontId="105" fillId="0" borderId="23" xfId="0" applyNumberFormat="1" applyFont="1" applyBorder="1" applyAlignment="1">
      <alignment horizontal="center" vertical="center"/>
    </xf>
    <xf numFmtId="0" fontId="14" fillId="0" borderId="59" xfId="0" applyFont="1" applyBorder="1" applyAlignment="1">
      <alignment horizontal="center" vertical="center"/>
    </xf>
    <xf numFmtId="49" fontId="14" fillId="0" borderId="23" xfId="0" applyNumberFormat="1" applyFont="1" applyBorder="1" applyAlignment="1">
      <alignment horizontal="center" vertical="center" wrapText="1"/>
    </xf>
    <xf numFmtId="0" fontId="14" fillId="0" borderId="56" xfId="0" applyFont="1" applyBorder="1" applyAlignment="1">
      <alignment horizontal="left" vertical="top" wrapText="1"/>
    </xf>
    <xf numFmtId="0" fontId="14" fillId="0" borderId="56" xfId="0" applyFont="1" applyBorder="1" applyAlignment="1">
      <alignment horizontal="center" vertical="center" shrinkToFit="1"/>
    </xf>
    <xf numFmtId="3" fontId="58" fillId="0" borderId="23" xfId="0" applyNumberFormat="1" applyFont="1" applyBorder="1" applyAlignment="1">
      <alignment horizontal="center" vertical="center" wrapText="1"/>
    </xf>
    <xf numFmtId="4" fontId="105" fillId="0" borderId="23" xfId="0" applyNumberFormat="1" applyFont="1" applyBorder="1" applyAlignment="1">
      <alignment horizontal="center" vertical="center"/>
    </xf>
    <xf numFmtId="0" fontId="58" fillId="6" borderId="84" xfId="0" applyFont="1" applyFill="1" applyBorder="1" applyAlignment="1">
      <alignment horizontal="center" vertical="center"/>
    </xf>
    <xf numFmtId="3" fontId="84" fillId="0" borderId="64" xfId="0" applyNumberFormat="1" applyFont="1" applyBorder="1" applyAlignment="1">
      <alignment horizontal="center" vertical="center" shrinkToFit="1"/>
    </xf>
    <xf numFmtId="3" fontId="105" fillId="0" borderId="99" xfId="0" applyNumberFormat="1" applyFont="1" applyBorder="1" applyAlignment="1">
      <alignment horizontal="center" vertical="center" shrinkToFit="1"/>
    </xf>
    <xf numFmtId="3" fontId="58" fillId="0" borderId="84" xfId="0" applyNumberFormat="1" applyFont="1" applyBorder="1" applyAlignment="1">
      <alignment horizontal="center" vertical="center" shrinkToFit="1"/>
    </xf>
    <xf numFmtId="1" fontId="58" fillId="0" borderId="12" xfId="0" applyNumberFormat="1" applyFont="1" applyBorder="1" applyAlignment="1">
      <alignment horizontal="center" vertical="center"/>
    </xf>
    <xf numFmtId="0" fontId="111" fillId="6" borderId="0" xfId="0" applyFont="1" applyFill="1" applyAlignment="1">
      <alignment vertical="center"/>
    </xf>
    <xf numFmtId="0" fontId="14" fillId="5" borderId="60" xfId="0" applyFont="1" applyFill="1" applyBorder="1" applyAlignment="1">
      <alignment horizontal="left" vertical="center" wrapText="1"/>
    </xf>
    <xf numFmtId="0" fontId="14" fillId="5" borderId="23" xfId="0" applyFont="1" applyFill="1" applyBorder="1" applyAlignment="1">
      <alignment horizontal="left" vertical="center" wrapText="1"/>
    </xf>
    <xf numFmtId="0" fontId="24" fillId="0" borderId="0" xfId="16" applyFont="1" applyAlignment="1">
      <alignment horizontal="right" vertical="center"/>
    </xf>
    <xf numFmtId="0" fontId="24" fillId="0" borderId="0" xfId="0" applyFont="1" applyAlignment="1">
      <alignment horizontal="right"/>
    </xf>
    <xf numFmtId="0" fontId="140" fillId="0" borderId="0" xfId="0" applyFont="1" applyAlignment="1">
      <alignment vertical="center"/>
    </xf>
    <xf numFmtId="0" fontId="141" fillId="0" borderId="0" xfId="16" applyFont="1" applyAlignment="1">
      <alignment horizontal="right" vertical="center"/>
    </xf>
    <xf numFmtId="0" fontId="22" fillId="46" borderId="102" xfId="135" applyFill="1" applyBorder="1"/>
    <xf numFmtId="0" fontId="22" fillId="46" borderId="102" xfId="135" applyFill="1" applyBorder="1" applyAlignment="1">
      <alignment horizontal="left"/>
    </xf>
    <xf numFmtId="49" fontId="22" fillId="46" borderId="102" xfId="135" applyNumberFormat="1" applyFill="1" applyBorder="1" applyAlignment="1">
      <alignment horizontal="left"/>
    </xf>
    <xf numFmtId="0" fontId="22" fillId="46" borderId="102" xfId="135" applyFill="1" applyBorder="1" applyAlignment="1">
      <alignment wrapText="1"/>
    </xf>
    <xf numFmtId="0" fontId="140" fillId="6" borderId="0" xfId="0" applyFont="1" applyFill="1" applyAlignment="1">
      <alignment vertical="center"/>
    </xf>
    <xf numFmtId="0" fontId="103" fillId="6" borderId="0" xfId="0" applyFont="1" applyFill="1" applyAlignment="1">
      <alignment horizontal="left" vertical="center"/>
    </xf>
    <xf numFmtId="49" fontId="88" fillId="8" borderId="1" xfId="0" applyNumberFormat="1" applyFont="1" applyFill="1" applyBorder="1" applyAlignment="1">
      <alignment horizontal="center" vertical="center" wrapText="1"/>
    </xf>
    <xf numFmtId="0" fontId="88" fillId="8" borderId="1" xfId="0" applyFont="1" applyFill="1" applyBorder="1" applyAlignment="1">
      <alignment horizontal="center" vertical="center" wrapText="1"/>
    </xf>
    <xf numFmtId="0" fontId="88" fillId="8" borderId="78" xfId="0" applyFont="1" applyFill="1" applyBorder="1" applyAlignment="1">
      <alignment horizontal="center" vertical="center" wrapText="1"/>
    </xf>
    <xf numFmtId="1" fontId="88" fillId="8" borderId="78" xfId="0" applyNumberFormat="1" applyFont="1" applyFill="1" applyBorder="1" applyAlignment="1">
      <alignment horizontal="center" vertical="center" wrapText="1"/>
    </xf>
    <xf numFmtId="0" fontId="88" fillId="8" borderId="12" xfId="0" applyFont="1" applyFill="1" applyBorder="1" applyAlignment="1">
      <alignment horizontal="left" vertical="center" wrapText="1"/>
    </xf>
    <xf numFmtId="3" fontId="14" fillId="47" borderId="78" xfId="0" applyNumberFormat="1" applyFont="1" applyFill="1" applyBorder="1" applyAlignment="1" applyProtection="1">
      <alignment horizontal="center" vertical="center"/>
      <protection locked="0"/>
    </xf>
    <xf numFmtId="3" fontId="14" fillId="47" borderId="78" xfId="0" applyNumberFormat="1" applyFont="1" applyFill="1" applyBorder="1" applyAlignment="1" applyProtection="1">
      <alignment horizontal="center" vertical="center" shrinkToFit="1"/>
      <protection locked="0"/>
    </xf>
    <xf numFmtId="3" fontId="14" fillId="47" borderId="12" xfId="0" applyNumberFormat="1" applyFont="1" applyFill="1" applyBorder="1" applyAlignment="1" applyProtection="1">
      <alignment horizontal="center" vertical="center"/>
      <protection locked="0"/>
    </xf>
    <xf numFmtId="3" fontId="14" fillId="47" borderId="12" xfId="0" applyNumberFormat="1" applyFont="1" applyFill="1" applyBorder="1" applyAlignment="1" applyProtection="1">
      <alignment horizontal="center" vertical="center" shrinkToFit="1"/>
      <protection locked="0"/>
    </xf>
    <xf numFmtId="3" fontId="14" fillId="47" borderId="12" xfId="0" applyNumberFormat="1" applyFont="1" applyFill="1" applyBorder="1" applyAlignment="1">
      <alignment horizontal="center" vertical="center" shrinkToFit="1"/>
    </xf>
    <xf numFmtId="3" fontId="59" fillId="47" borderId="72" xfId="0" applyNumberFormat="1" applyFont="1" applyFill="1" applyBorder="1" applyAlignment="1">
      <alignment horizontal="center" vertical="center"/>
    </xf>
    <xf numFmtId="3" fontId="86" fillId="47" borderId="12" xfId="129" applyNumberFormat="1" applyFont="1" applyFill="1" applyBorder="1" applyAlignment="1" applyProtection="1">
      <alignment horizontal="center" vertical="center"/>
      <protection locked="0"/>
    </xf>
    <xf numFmtId="3" fontId="59" fillId="47" borderId="72" xfId="0" applyNumberFormat="1" applyFont="1" applyFill="1" applyBorder="1" applyAlignment="1">
      <alignment horizontal="center" vertical="center" wrapText="1"/>
    </xf>
    <xf numFmtId="3" fontId="14" fillId="47" borderId="12" xfId="0" applyNumberFormat="1" applyFont="1" applyFill="1" applyBorder="1" applyAlignment="1">
      <alignment horizontal="center" vertical="center" wrapText="1"/>
    </xf>
    <xf numFmtId="3" fontId="14" fillId="47" borderId="12" xfId="0" applyNumberFormat="1" applyFont="1" applyFill="1" applyBorder="1" applyAlignment="1">
      <alignment horizontal="center" vertical="center"/>
    </xf>
    <xf numFmtId="3" fontId="14" fillId="47" borderId="77" xfId="0" applyNumberFormat="1" applyFont="1" applyFill="1" applyBorder="1" applyAlignment="1" applyProtection="1">
      <alignment horizontal="center" vertical="center"/>
      <protection locked="0"/>
    </xf>
    <xf numFmtId="3" fontId="14" fillId="48" borderId="23" xfId="0" applyNumberFormat="1" applyFont="1" applyFill="1" applyBorder="1" applyAlignment="1">
      <alignment horizontal="center" vertical="center" wrapText="1"/>
    </xf>
    <xf numFmtId="3" fontId="14" fillId="49" borderId="23" xfId="0" applyNumberFormat="1" applyFont="1" applyFill="1" applyBorder="1" applyAlignment="1">
      <alignment horizontal="center" vertical="center"/>
    </xf>
    <xf numFmtId="3" fontId="14" fillId="48" borderId="23" xfId="0" applyNumberFormat="1" applyFont="1" applyFill="1" applyBorder="1" applyAlignment="1">
      <alignment horizontal="center" vertical="center"/>
    </xf>
    <xf numFmtId="3" fontId="60" fillId="47" borderId="48" xfId="0" applyNumberFormat="1" applyFont="1" applyFill="1" applyBorder="1" applyAlignment="1">
      <alignment horizontal="center" vertical="center"/>
    </xf>
    <xf numFmtId="3" fontId="60" fillId="47" borderId="49" xfId="0" applyNumberFormat="1" applyFont="1" applyFill="1" applyBorder="1" applyAlignment="1">
      <alignment horizontal="center" vertical="center"/>
    </xf>
    <xf numFmtId="3" fontId="14" fillId="47" borderId="48" xfId="0" applyNumberFormat="1" applyFont="1" applyFill="1" applyBorder="1" applyAlignment="1">
      <alignment horizontal="center" vertical="center" shrinkToFit="1"/>
    </xf>
    <xf numFmtId="3" fontId="14" fillId="47" borderId="23" xfId="0" applyNumberFormat="1" applyFont="1" applyFill="1" applyBorder="1" applyAlignment="1">
      <alignment horizontal="center" vertical="center"/>
    </xf>
    <xf numFmtId="3" fontId="14" fillId="47" borderId="37" xfId="0" applyNumberFormat="1" applyFont="1" applyFill="1" applyBorder="1" applyAlignment="1">
      <alignment horizontal="center" vertical="center"/>
    </xf>
    <xf numFmtId="3" fontId="60" fillId="47" borderId="12" xfId="129" applyNumberFormat="1" applyFont="1" applyFill="1" applyBorder="1" applyAlignment="1" applyProtection="1">
      <alignment horizontal="center" vertical="center"/>
      <protection locked="0"/>
    </xf>
    <xf numFmtId="3" fontId="60" fillId="47" borderId="48" xfId="0" applyNumberFormat="1" applyFont="1" applyFill="1" applyBorder="1" applyAlignment="1">
      <alignment horizontal="center" vertical="center" shrinkToFit="1"/>
    </xf>
    <xf numFmtId="3" fontId="60" fillId="47" borderId="72" xfId="0" applyNumberFormat="1" applyFont="1" applyFill="1" applyBorder="1" applyAlignment="1">
      <alignment horizontal="center" vertical="center"/>
    </xf>
    <xf numFmtId="3" fontId="14" fillId="47" borderId="50" xfId="0" applyNumberFormat="1" applyFont="1" applyFill="1" applyBorder="1" applyAlignment="1">
      <alignment horizontal="center" vertical="center"/>
    </xf>
    <xf numFmtId="3" fontId="14" fillId="47" borderId="72" xfId="0" applyNumberFormat="1" applyFont="1" applyFill="1" applyBorder="1" applyAlignment="1">
      <alignment horizontal="center" vertical="center"/>
    </xf>
    <xf numFmtId="3" fontId="60" fillId="47" borderId="72" xfId="0" applyNumberFormat="1" applyFont="1" applyFill="1" applyBorder="1" applyAlignment="1">
      <alignment horizontal="center" vertical="center" wrapText="1"/>
    </xf>
    <xf numFmtId="3" fontId="60" fillId="47" borderId="12" xfId="0" applyNumberFormat="1" applyFont="1" applyFill="1" applyBorder="1" applyAlignment="1" applyProtection="1">
      <alignment horizontal="center" vertical="center"/>
      <protection locked="0"/>
    </xf>
    <xf numFmtId="1" fontId="93" fillId="47" borderId="72" xfId="0" applyNumberFormat="1" applyFont="1" applyFill="1" applyBorder="1" applyAlignment="1">
      <alignment horizontal="center" vertical="center"/>
    </xf>
    <xf numFmtId="3" fontId="93" fillId="47" borderId="72" xfId="0" applyNumberFormat="1" applyFont="1" applyFill="1" applyBorder="1" applyAlignment="1">
      <alignment horizontal="center" vertical="center"/>
    </xf>
    <xf numFmtId="1" fontId="60" fillId="47" borderId="72" xfId="0" applyNumberFormat="1" applyFont="1" applyFill="1" applyBorder="1" applyAlignment="1">
      <alignment horizontal="center" vertical="center"/>
    </xf>
    <xf numFmtId="3" fontId="14" fillId="47" borderId="95" xfId="0" applyNumberFormat="1" applyFont="1" applyFill="1" applyBorder="1" applyAlignment="1">
      <alignment horizontal="center" vertical="center"/>
    </xf>
    <xf numFmtId="9" fontId="84" fillId="50" borderId="13" xfId="4" applyNumberFormat="1" applyFont="1" applyFill="1" applyBorder="1" applyAlignment="1" applyProtection="1">
      <alignment horizontal="center" vertical="center"/>
      <protection locked="0"/>
    </xf>
    <xf numFmtId="9" fontId="84" fillId="50" borderId="47" xfId="4" applyNumberFormat="1" applyFont="1" applyFill="1" applyBorder="1" applyAlignment="1" applyProtection="1">
      <alignment horizontal="center" vertical="center"/>
      <protection locked="0"/>
    </xf>
    <xf numFmtId="49" fontId="84" fillId="50" borderId="103" xfId="4" applyNumberFormat="1" applyFont="1" applyFill="1" applyBorder="1" applyAlignment="1" applyProtection="1">
      <alignment horizontal="center" vertical="center"/>
      <protection locked="0"/>
    </xf>
    <xf numFmtId="0" fontId="13" fillId="47" borderId="104" xfId="0" applyFont="1" applyFill="1" applyBorder="1" applyAlignment="1">
      <alignment vertical="center"/>
    </xf>
    <xf numFmtId="165" fontId="20" fillId="6" borderId="12" xfId="2" applyNumberFormat="1" applyFont="1" applyFill="1" applyBorder="1" applyAlignment="1">
      <alignment horizontal="center"/>
    </xf>
    <xf numFmtId="3" fontId="20" fillId="6" borderId="12" xfId="2" applyNumberFormat="1" applyFont="1" applyFill="1" applyBorder="1" applyAlignment="1">
      <alignment horizontal="center"/>
    </xf>
    <xf numFmtId="3" fontId="20" fillId="0" borderId="12" xfId="2" applyNumberFormat="1" applyFont="1" applyBorder="1" applyAlignment="1">
      <alignment horizontal="center"/>
    </xf>
    <xf numFmtId="165" fontId="20" fillId="7" borderId="12" xfId="2" applyNumberFormat="1" applyFont="1" applyFill="1" applyBorder="1" applyAlignment="1">
      <alignment horizontal="center"/>
    </xf>
    <xf numFmtId="165" fontId="20" fillId="0" borderId="12" xfId="2" applyNumberFormat="1" applyFont="1" applyBorder="1" applyAlignment="1">
      <alignment horizontal="center"/>
    </xf>
    <xf numFmtId="165" fontId="16" fillId="7" borderId="12" xfId="2" applyNumberFormat="1" applyFont="1" applyFill="1" applyBorder="1" applyAlignment="1">
      <alignment horizontal="center"/>
    </xf>
    <xf numFmtId="165" fontId="16" fillId="6" borderId="12" xfId="2" applyNumberFormat="1" applyFont="1" applyFill="1" applyBorder="1" applyAlignment="1">
      <alignment horizontal="center"/>
    </xf>
    <xf numFmtId="2" fontId="20" fillId="6" borderId="0" xfId="2" applyNumberFormat="1" applyFont="1" applyFill="1" applyAlignment="1">
      <alignment horizontal="center"/>
    </xf>
    <xf numFmtId="165" fontId="16" fillId="0" borderId="12" xfId="2" applyNumberFormat="1" applyFont="1" applyBorder="1" applyAlignment="1">
      <alignment horizontal="center"/>
    </xf>
    <xf numFmtId="1" fontId="20" fillId="6" borderId="12" xfId="2" applyNumberFormat="1" applyFont="1" applyFill="1" applyBorder="1" applyAlignment="1">
      <alignment horizontal="center"/>
    </xf>
    <xf numFmtId="0" fontId="75" fillId="7" borderId="105" xfId="2" applyFont="1" applyFill="1" applyBorder="1" applyAlignment="1">
      <alignment horizontal="right" vertical="top"/>
    </xf>
    <xf numFmtId="0" fontId="66" fillId="40" borderId="106" xfId="2" applyFont="1" applyFill="1" applyBorder="1" applyAlignment="1">
      <alignment horizontal="left" vertical="center" wrapText="1"/>
    </xf>
    <xf numFmtId="165" fontId="20" fillId="7" borderId="105" xfId="2" applyNumberFormat="1" applyFont="1" applyFill="1" applyBorder="1" applyAlignment="1">
      <alignment horizontal="center"/>
    </xf>
    <xf numFmtId="3" fontId="20" fillId="0" borderId="105" xfId="2" applyNumberFormat="1" applyFont="1" applyBorder="1" applyAlignment="1">
      <alignment horizontal="center"/>
    </xf>
    <xf numFmtId="0" fontId="20" fillId="0" borderId="104" xfId="2" applyFont="1" applyBorder="1" applyAlignment="1">
      <alignment horizontal="center" vertical="center" wrapText="1"/>
    </xf>
    <xf numFmtId="0" fontId="66" fillId="51" borderId="12" xfId="2" applyFont="1" applyFill="1" applyBorder="1" applyAlignment="1">
      <alignment horizontal="left" vertical="center" wrapText="1"/>
    </xf>
    <xf numFmtId="0" fontId="19" fillId="7" borderId="12" xfId="0" applyFont="1" applyFill="1" applyBorder="1" applyAlignment="1">
      <alignment vertical="center"/>
    </xf>
    <xf numFmtId="0" fontId="16" fillId="52" borderId="12" xfId="0" applyFont="1" applyFill="1" applyBorder="1" applyAlignment="1">
      <alignment vertical="center"/>
    </xf>
    <xf numFmtId="3" fontId="66" fillId="6" borderId="104" xfId="2" applyNumberFormat="1" applyFont="1" applyFill="1" applyBorder="1" applyAlignment="1">
      <alignment vertical="center" wrapText="1"/>
    </xf>
    <xf numFmtId="0" fontId="66" fillId="53" borderId="12" xfId="2" applyFont="1" applyFill="1" applyBorder="1" applyAlignment="1">
      <alignment horizontal="left" vertical="center" wrapText="1"/>
    </xf>
    <xf numFmtId="49" fontId="16" fillId="0" borderId="78" xfId="0" applyNumberFormat="1" applyFont="1" applyBorder="1" applyAlignment="1">
      <alignment horizontal="center" vertical="center"/>
    </xf>
    <xf numFmtId="0" fontId="84" fillId="0" borderId="0" xfId="0" applyFont="1" applyAlignment="1">
      <alignment horizontal="center" vertical="center"/>
    </xf>
    <xf numFmtId="0" fontId="89" fillId="7" borderId="92" xfId="0" applyFont="1" applyFill="1" applyBorder="1" applyAlignment="1">
      <alignment horizontal="center" vertical="center" wrapText="1"/>
    </xf>
    <xf numFmtId="0" fontId="89" fillId="7" borderId="82" xfId="0" applyFont="1" applyFill="1" applyBorder="1" applyAlignment="1">
      <alignment horizontal="center" vertical="center" wrapText="1"/>
    </xf>
    <xf numFmtId="0" fontId="85" fillId="0" borderId="0" xfId="0" applyFont="1" applyAlignment="1">
      <alignment horizontal="center" vertical="center"/>
    </xf>
    <xf numFmtId="0" fontId="111" fillId="0" borderId="0" xfId="0" applyFont="1" applyAlignment="1">
      <alignment horizontal="center" vertical="center" wrapText="1"/>
    </xf>
    <xf numFmtId="49" fontId="19" fillId="6" borderId="93" xfId="0" applyNumberFormat="1" applyFont="1" applyFill="1" applyBorder="1" applyAlignment="1">
      <alignment horizontal="left" vertical="center"/>
    </xf>
    <xf numFmtId="0" fontId="89" fillId="3" borderId="82" xfId="0" applyFont="1" applyFill="1" applyBorder="1" applyAlignment="1">
      <alignment horizontal="center" vertical="center" wrapText="1"/>
    </xf>
    <xf numFmtId="0" fontId="89" fillId="3" borderId="83" xfId="0" applyFont="1" applyFill="1" applyBorder="1" applyAlignment="1">
      <alignment horizontal="center" vertical="center" wrapText="1"/>
    </xf>
    <xf numFmtId="0" fontId="16" fillId="0" borderId="0" xfId="0" applyFont="1" applyAlignment="1">
      <alignment horizontal="left" vertical="center"/>
    </xf>
    <xf numFmtId="0" fontId="89" fillId="7" borderId="90" xfId="0" applyFont="1" applyFill="1" applyBorder="1" applyAlignment="1">
      <alignment horizontal="center" vertical="center" wrapText="1"/>
    </xf>
    <xf numFmtId="0" fontId="128" fillId="7" borderId="82" xfId="0" applyFont="1" applyFill="1" applyBorder="1" applyAlignment="1">
      <alignment horizontal="center" vertical="center" wrapText="1"/>
    </xf>
    <xf numFmtId="0" fontId="89" fillId="7" borderId="75" xfId="0" applyFont="1" applyFill="1" applyBorder="1" applyAlignment="1">
      <alignment horizontal="center" vertical="center" wrapText="1"/>
    </xf>
    <xf numFmtId="0" fontId="89" fillId="7" borderId="88" xfId="0" applyFont="1" applyFill="1" applyBorder="1" applyAlignment="1">
      <alignment horizontal="center" vertical="center" wrapText="1"/>
    </xf>
    <xf numFmtId="49" fontId="89" fillId="3" borderId="82" xfId="0" applyNumberFormat="1" applyFont="1" applyFill="1" applyBorder="1" applyAlignment="1">
      <alignment horizontal="center" vertical="center"/>
    </xf>
    <xf numFmtId="49" fontId="89" fillId="3" borderId="89" xfId="0" applyNumberFormat="1" applyFont="1" applyFill="1" applyBorder="1" applyAlignment="1">
      <alignment horizontal="center" vertical="center"/>
    </xf>
    <xf numFmtId="49" fontId="89" fillId="7" borderId="82" xfId="0" applyNumberFormat="1" applyFont="1" applyFill="1" applyBorder="1" applyAlignment="1">
      <alignment horizontal="center" vertical="center"/>
    </xf>
    <xf numFmtId="0" fontId="89" fillId="7" borderId="75" xfId="0" applyFont="1" applyFill="1" applyBorder="1" applyAlignment="1">
      <alignment horizontal="center" vertical="top" wrapText="1"/>
    </xf>
    <xf numFmtId="0" fontId="89" fillId="7" borderId="91" xfId="0" applyFont="1" applyFill="1" applyBorder="1" applyAlignment="1">
      <alignment horizontal="center" vertical="center" wrapText="1"/>
    </xf>
    <xf numFmtId="0" fontId="89" fillId="7" borderId="89" xfId="0" applyFont="1" applyFill="1" applyBorder="1" applyAlignment="1">
      <alignment horizontal="center" vertical="center" wrapText="1"/>
    </xf>
    <xf numFmtId="0" fontId="84" fillId="0" borderId="0" xfId="12" applyFont="1" applyAlignment="1">
      <alignment horizontal="left" vertical="top" wrapText="1"/>
    </xf>
    <xf numFmtId="0" fontId="84" fillId="6" borderId="0" xfId="12" applyFont="1" applyFill="1" applyAlignment="1">
      <alignment horizontal="left" vertical="top" wrapText="1"/>
    </xf>
    <xf numFmtId="0" fontId="113" fillId="0" borderId="0" xfId="0" applyFont="1" applyAlignment="1">
      <alignment vertical="center"/>
    </xf>
    <xf numFmtId="3" fontId="110" fillId="33" borderId="0" xfId="0" applyNumberFormat="1" applyFont="1" applyFill="1" applyAlignment="1">
      <alignment horizontal="center" vertical="center" wrapText="1"/>
    </xf>
    <xf numFmtId="0" fontId="114" fillId="0" borderId="0" xfId="0" applyFont="1" applyAlignment="1">
      <alignment horizontal="center" vertical="center" wrapText="1"/>
    </xf>
    <xf numFmtId="0" fontId="111" fillId="0" borderId="0" xfId="0" applyFont="1" applyAlignment="1">
      <alignment vertical="center"/>
    </xf>
    <xf numFmtId="0" fontId="109" fillId="7" borderId="0" xfId="0" applyFont="1" applyFill="1" applyAlignment="1">
      <alignment horizontal="left" vertical="center" wrapText="1"/>
    </xf>
    <xf numFmtId="0" fontId="137" fillId="0" borderId="0" xfId="138" applyFont="1" applyAlignment="1">
      <alignment horizontal="center" vertical="center" wrapText="1"/>
    </xf>
    <xf numFmtId="0" fontId="137" fillId="0" borderId="0" xfId="138" applyFont="1" applyAlignment="1">
      <alignment horizontal="center" vertical="center"/>
    </xf>
    <xf numFmtId="0" fontId="137" fillId="10" borderId="0" xfId="138" applyFont="1" applyFill="1" applyAlignment="1">
      <alignment horizontal="right" vertical="center" wrapText="1"/>
    </xf>
    <xf numFmtId="0" fontId="66" fillId="6" borderId="104" xfId="2" applyFont="1" applyFill="1" applyBorder="1" applyAlignment="1">
      <alignment horizontal="left" vertical="center" wrapText="1"/>
    </xf>
    <xf numFmtId="3" fontId="66" fillId="0" borderId="104" xfId="2" applyNumberFormat="1" applyFont="1" applyBorder="1" applyAlignment="1">
      <alignment horizontal="center" vertical="center"/>
    </xf>
    <xf numFmtId="0" fontId="66" fillId="6" borderId="104" xfId="2" applyFont="1" applyFill="1" applyBorder="1" applyAlignment="1">
      <alignment horizontal="center" vertical="center" wrapText="1"/>
    </xf>
    <xf numFmtId="0" fontId="0" fillId="0" borderId="0" xfId="0" applyAlignment="1">
      <alignment horizontal="center"/>
    </xf>
    <xf numFmtId="3" fontId="62" fillId="6" borderId="78" xfId="0" applyNumberFormat="1" applyFont="1" applyFill="1" applyBorder="1" applyAlignment="1">
      <alignment horizontal="center" vertical="center" wrapText="1"/>
    </xf>
    <xf numFmtId="3" fontId="103" fillId="34" borderId="78" xfId="129" applyNumberFormat="1" applyFont="1" applyFill="1" applyBorder="1" applyAlignment="1">
      <alignment horizontal="center" vertical="center"/>
    </xf>
    <xf numFmtId="0" fontId="17" fillId="6" borderId="0" xfId="0" applyFont="1" applyFill="1" applyAlignment="1">
      <alignment vertical="center"/>
    </xf>
    <xf numFmtId="0" fontId="121" fillId="6" borderId="0" xfId="0" applyFont="1" applyFill="1" applyAlignment="1">
      <alignment horizontal="center" vertical="center" wrapText="1"/>
    </xf>
    <xf numFmtId="0" fontId="14" fillId="6" borderId="48" xfId="129" applyFont="1" applyFill="1" applyBorder="1" applyAlignment="1">
      <alignment vertical="top" wrapText="1"/>
    </xf>
    <xf numFmtId="0" fontId="58" fillId="6" borderId="65" xfId="129" applyFont="1" applyFill="1" applyBorder="1" applyAlignment="1">
      <alignment horizontal="left" vertical="center" wrapText="1"/>
    </xf>
    <xf numFmtId="49" fontId="59" fillId="6" borderId="52" xfId="0" applyNumberFormat="1" applyFont="1" applyFill="1" applyBorder="1" applyAlignment="1">
      <alignment horizontal="center" vertical="center" wrapText="1"/>
    </xf>
    <xf numFmtId="3" fontId="62" fillId="6" borderId="72" xfId="0" applyNumberFormat="1" applyFont="1" applyFill="1" applyBorder="1" applyAlignment="1">
      <alignment horizontal="center" vertical="center" wrapText="1"/>
    </xf>
    <xf numFmtId="3" fontId="103" fillId="34" borderId="50" xfId="129" applyNumberFormat="1" applyFont="1" applyFill="1" applyBorder="1" applyAlignment="1">
      <alignment horizontal="center" vertical="center"/>
    </xf>
    <xf numFmtId="49" fontId="59" fillId="6" borderId="49" xfId="0" applyNumberFormat="1" applyFont="1" applyFill="1" applyBorder="1" applyAlignment="1">
      <alignment horizontal="left" vertical="center" wrapText="1"/>
    </xf>
    <xf numFmtId="0" fontId="14" fillId="6" borderId="1" xfId="0" applyFont="1" applyFill="1" applyBorder="1" applyAlignment="1" applyProtection="1">
      <alignment vertical="center" wrapText="1"/>
      <protection locked="0"/>
    </xf>
    <xf numFmtId="0" fontId="14" fillId="6" borderId="1" xfId="0" applyFont="1" applyFill="1" applyBorder="1" applyAlignment="1" applyProtection="1">
      <alignment horizontal="left" vertical="center" wrapText="1"/>
      <protection locked="0"/>
    </xf>
    <xf numFmtId="0" fontId="14" fillId="6" borderId="1" xfId="0" applyFont="1" applyFill="1" applyBorder="1" applyAlignment="1" applyProtection="1">
      <alignment horizontal="center" vertical="center" shrinkToFit="1"/>
      <protection locked="0"/>
    </xf>
    <xf numFmtId="0" fontId="14" fillId="6" borderId="1" xfId="0" applyFont="1" applyFill="1" applyBorder="1" applyAlignment="1">
      <alignment vertical="center" wrapText="1"/>
    </xf>
    <xf numFmtId="0" fontId="14" fillId="6" borderId="1" xfId="0" applyFont="1" applyFill="1" applyBorder="1" applyAlignment="1">
      <alignment horizontal="left" vertical="center" wrapText="1"/>
    </xf>
    <xf numFmtId="0" fontId="121" fillId="6" borderId="0" xfId="0" applyFont="1" applyFill="1" applyAlignment="1">
      <alignment vertical="center"/>
    </xf>
    <xf numFmtId="49" fontId="59" fillId="6" borderId="67" xfId="0" applyNumberFormat="1" applyFont="1" applyFill="1" applyBorder="1" applyAlignment="1">
      <alignment horizontal="left" vertical="center" wrapText="1"/>
    </xf>
    <xf numFmtId="49" fontId="59" fillId="6" borderId="67" xfId="0" applyNumberFormat="1" applyFont="1" applyFill="1" applyBorder="1" applyAlignment="1">
      <alignment horizontal="center" vertical="center" wrapText="1"/>
    </xf>
    <xf numFmtId="3" fontId="62" fillId="6" borderId="73" xfId="0" applyNumberFormat="1" applyFont="1" applyFill="1" applyBorder="1" applyAlignment="1">
      <alignment horizontal="center" vertical="center" wrapText="1"/>
    </xf>
    <xf numFmtId="3" fontId="62" fillId="6" borderId="73" xfId="0" applyNumberFormat="1" applyFont="1" applyFill="1" applyBorder="1" applyAlignment="1">
      <alignment horizontal="center" vertical="center"/>
    </xf>
    <xf numFmtId="0" fontId="14" fillId="6" borderId="11" xfId="0" applyFont="1" applyFill="1" applyBorder="1" applyAlignment="1" applyProtection="1">
      <alignment vertical="center"/>
      <protection locked="0"/>
    </xf>
    <xf numFmtId="0" fontId="14" fillId="6" borderId="11" xfId="0" applyFont="1" applyFill="1" applyBorder="1" applyAlignment="1" applyProtection="1">
      <alignment horizontal="left" vertical="center" wrapText="1"/>
      <protection locked="0"/>
    </xf>
    <xf numFmtId="0" fontId="14" fillId="6" borderId="11" xfId="0" applyFont="1" applyFill="1" applyBorder="1" applyAlignment="1" applyProtection="1">
      <alignment horizontal="center" vertical="center" wrapText="1"/>
      <protection locked="0"/>
    </xf>
    <xf numFmtId="0" fontId="18" fillId="6" borderId="0" xfId="0" applyFont="1" applyFill="1" applyAlignment="1">
      <alignment vertical="center"/>
    </xf>
    <xf numFmtId="0" fontId="61" fillId="6" borderId="78" xfId="0" applyFont="1" applyFill="1" applyBorder="1" applyAlignment="1">
      <alignment vertical="center" wrapText="1"/>
    </xf>
    <xf numFmtId="0" fontId="61" fillId="6" borderId="78" xfId="0" applyFont="1" applyFill="1" applyBorder="1" applyAlignment="1" applyProtection="1">
      <alignment horizontal="left" vertical="center" wrapText="1"/>
      <protection locked="0"/>
    </xf>
    <xf numFmtId="49" fontId="59" fillId="6" borderId="53" xfId="0" applyNumberFormat="1" applyFont="1" applyFill="1" applyBorder="1" applyAlignment="1">
      <alignment horizontal="center" vertical="center" wrapText="1"/>
    </xf>
    <xf numFmtId="1" fontId="62" fillId="6" borderId="72" xfId="0" applyNumberFormat="1" applyFont="1" applyFill="1" applyBorder="1" applyAlignment="1">
      <alignment horizontal="center" vertical="center"/>
    </xf>
    <xf numFmtId="49" fontId="126" fillId="6" borderId="78" xfId="0" applyNumberFormat="1" applyFont="1" applyFill="1" applyBorder="1" applyAlignment="1">
      <alignment horizontal="left" vertical="center" wrapText="1"/>
    </xf>
    <xf numFmtId="0" fontId="58" fillId="6" borderId="1" xfId="0" applyFont="1" applyFill="1" applyBorder="1" applyAlignment="1" applyProtection="1">
      <alignment horizontal="left" vertical="top" wrapText="1"/>
      <protection locked="0"/>
    </xf>
    <xf numFmtId="1" fontId="58" fillId="6" borderId="12" xfId="0" applyNumberFormat="1" applyFont="1" applyFill="1" applyBorder="1" applyAlignment="1" applyProtection="1">
      <alignment horizontal="center" vertical="center" shrinkToFit="1"/>
      <protection locked="0"/>
    </xf>
    <xf numFmtId="0" fontId="59" fillId="6" borderId="11" xfId="0" applyFont="1" applyFill="1" applyBorder="1" applyAlignment="1" applyProtection="1">
      <alignment horizontal="left" vertical="center" wrapText="1"/>
      <protection locked="0"/>
    </xf>
    <xf numFmtId="0" fontId="14" fillId="6" borderId="37" xfId="0" applyFont="1" applyFill="1" applyBorder="1" applyAlignment="1">
      <alignment horizontal="center" vertical="center" wrapText="1"/>
    </xf>
    <xf numFmtId="0" fontId="17" fillId="6" borderId="0" xfId="0" applyFont="1" applyFill="1" applyAlignment="1">
      <alignment horizontal="center" vertical="center" wrapText="1"/>
    </xf>
    <xf numFmtId="0" fontId="14" fillId="6" borderId="0" xfId="0" applyFont="1" applyFill="1" applyAlignment="1">
      <alignment horizontal="center" vertical="center" wrapText="1"/>
    </xf>
    <xf numFmtId="49" fontId="14" fillId="6" borderId="49" xfId="0" applyNumberFormat="1" applyFont="1" applyFill="1" applyBorder="1" applyAlignment="1">
      <alignment horizontal="center" vertical="center" shrinkToFit="1"/>
    </xf>
    <xf numFmtId="0" fontId="14" fillId="6" borderId="12" xfId="25" applyFont="1" applyFill="1" applyBorder="1" applyAlignment="1" applyProtection="1">
      <alignment horizontal="center" vertical="center" shrinkToFit="1"/>
      <protection locked="0"/>
    </xf>
    <xf numFmtId="49" fontId="59" fillId="6" borderId="67" xfId="0" applyNumberFormat="1" applyFont="1" applyFill="1" applyBorder="1" applyAlignment="1">
      <alignment vertical="center" wrapText="1"/>
    </xf>
    <xf numFmtId="0" fontId="80" fillId="6" borderId="0" xfId="0" applyFont="1" applyFill="1" applyAlignment="1">
      <alignment vertical="center"/>
    </xf>
    <xf numFmtId="0" fontId="60" fillId="6" borderId="0" xfId="0" applyFont="1" applyFill="1"/>
    <xf numFmtId="0" fontId="0" fillId="6" borderId="0" xfId="0" applyFill="1"/>
    <xf numFmtId="49" fontId="56" fillId="6" borderId="12" xfId="0" applyNumberFormat="1" applyFont="1" applyFill="1" applyBorder="1" applyAlignment="1">
      <alignment horizontal="left" vertical="top" wrapText="1"/>
    </xf>
  </cellXfs>
  <cellStyles count="149">
    <cellStyle name="20% – Акцентування1 2" xfId="29" xr:uid="{00000000-0005-0000-0000-000000000000}"/>
    <cellStyle name="20% – Акцентування2 2" xfId="30" xr:uid="{00000000-0005-0000-0000-000001000000}"/>
    <cellStyle name="20% – Акцентування3 2" xfId="31" xr:uid="{00000000-0005-0000-0000-000002000000}"/>
    <cellStyle name="20% – Акцентування4 2" xfId="32" xr:uid="{00000000-0005-0000-0000-000003000000}"/>
    <cellStyle name="20% – Акцентування5 2" xfId="33" xr:uid="{00000000-0005-0000-0000-000004000000}"/>
    <cellStyle name="20% – Акцентування6 2" xfId="34" xr:uid="{00000000-0005-0000-0000-000005000000}"/>
    <cellStyle name="40% – Акцентування1 2" xfId="35" xr:uid="{00000000-0005-0000-0000-000006000000}"/>
    <cellStyle name="40% – Акцентування2 2" xfId="36" xr:uid="{00000000-0005-0000-0000-000007000000}"/>
    <cellStyle name="40% – Акцентування3 2" xfId="37" xr:uid="{00000000-0005-0000-0000-000008000000}"/>
    <cellStyle name="40% – Акцентування4 2" xfId="38" xr:uid="{00000000-0005-0000-0000-000009000000}"/>
    <cellStyle name="40% – Акцентування5 2" xfId="39" xr:uid="{00000000-0005-0000-0000-00000A000000}"/>
    <cellStyle name="40% – Акцентування6 2" xfId="40" xr:uid="{00000000-0005-0000-0000-00000B000000}"/>
    <cellStyle name="60% – Акцентування1 2" xfId="41" xr:uid="{00000000-0005-0000-0000-00000C000000}"/>
    <cellStyle name="60% – Акцентування2 2" xfId="42" xr:uid="{00000000-0005-0000-0000-00000D000000}"/>
    <cellStyle name="60% – Акцентування3 2" xfId="43" xr:uid="{00000000-0005-0000-0000-00000E000000}"/>
    <cellStyle name="60% – Акцентування4 2" xfId="44" xr:uid="{00000000-0005-0000-0000-00000F000000}"/>
    <cellStyle name="60% – Акцентування5 2" xfId="45" xr:uid="{00000000-0005-0000-0000-000010000000}"/>
    <cellStyle name="60% – Акцентування6 2" xfId="46" xr:uid="{00000000-0005-0000-0000-000011000000}"/>
    <cellStyle name="Excel Built-in Excel Built-in Excel Built-in Excel Built-in Excel Built-in Excel Built-in Excel Built-in Excel Built-in TableStyleLight1" xfId="47" xr:uid="{00000000-0005-0000-0000-000012000000}"/>
    <cellStyle name="Excel Built-in Normal" xfId="15" xr:uid="{00000000-0005-0000-0000-000013000000}"/>
    <cellStyle name="Excel Built-in Normal 1" xfId="22" xr:uid="{00000000-0005-0000-0000-000014000000}"/>
    <cellStyle name="Excel Built-in Normal 1 2" xfId="129" xr:uid="{00000000-0005-0000-0000-000015000000}"/>
    <cellStyle name="Excel Built-in Normal 1 2 3" xfId="135" xr:uid="{00000000-0005-0000-0000-000016000000}"/>
    <cellStyle name="Excel Built-in Normal 2" xfId="138" xr:uid="{00000000-0005-0000-0000-000017000000}"/>
    <cellStyle name="Excel Built-in Normal 2 2" xfId="28" xr:uid="{00000000-0005-0000-0000-000018000000}"/>
    <cellStyle name="Excel Built-in Normal 2 2 2" xfId="132" xr:uid="{00000000-0005-0000-0000-000019000000}"/>
    <cellStyle name="Excel Built-in Normal 2 2 3" xfId="137" xr:uid="{00000000-0005-0000-0000-00001A000000}"/>
    <cellStyle name="Excel Built-in Normal 3" xfId="11" xr:uid="{00000000-0005-0000-0000-00001B000000}"/>
    <cellStyle name="IvkDocStyle 1" xfId="48" xr:uid="{00000000-0005-0000-0000-00001C000000}"/>
    <cellStyle name="IvkDocStyle 10" xfId="49" xr:uid="{00000000-0005-0000-0000-00001D000000}"/>
    <cellStyle name="IvkDocStyle 11" xfId="50" xr:uid="{00000000-0005-0000-0000-00001E000000}"/>
    <cellStyle name="IvkDocStyle 12" xfId="51" xr:uid="{00000000-0005-0000-0000-00001F000000}"/>
    <cellStyle name="IvkDocStyle 13" xfId="52" xr:uid="{00000000-0005-0000-0000-000020000000}"/>
    <cellStyle name="IvkDocStyle 14" xfId="53" xr:uid="{00000000-0005-0000-0000-000021000000}"/>
    <cellStyle name="IvkDocStyle 15" xfId="54" xr:uid="{00000000-0005-0000-0000-000022000000}"/>
    <cellStyle name="IvkDocStyle 16" xfId="55" xr:uid="{00000000-0005-0000-0000-000023000000}"/>
    <cellStyle name="IvkDocStyle 17" xfId="56" xr:uid="{00000000-0005-0000-0000-000024000000}"/>
    <cellStyle name="IvkDocStyle 18" xfId="57" xr:uid="{00000000-0005-0000-0000-000025000000}"/>
    <cellStyle name="IvkDocStyle 19" xfId="58" xr:uid="{00000000-0005-0000-0000-000026000000}"/>
    <cellStyle name="IvkDocStyle 2" xfId="59" xr:uid="{00000000-0005-0000-0000-000027000000}"/>
    <cellStyle name="IvkDocStyle 20" xfId="60" xr:uid="{00000000-0005-0000-0000-000028000000}"/>
    <cellStyle name="IvkDocStyle 21" xfId="61" xr:uid="{00000000-0005-0000-0000-000029000000}"/>
    <cellStyle name="IvkDocStyle 22" xfId="62" xr:uid="{00000000-0005-0000-0000-00002A000000}"/>
    <cellStyle name="IvkDocStyle 23" xfId="63" xr:uid="{00000000-0005-0000-0000-00002B000000}"/>
    <cellStyle name="IvkDocStyle 24" xfId="64" xr:uid="{00000000-0005-0000-0000-00002C000000}"/>
    <cellStyle name="IvkDocStyle 25" xfId="65" xr:uid="{00000000-0005-0000-0000-00002D000000}"/>
    <cellStyle name="IvkDocStyle 26" xfId="66" xr:uid="{00000000-0005-0000-0000-00002E000000}"/>
    <cellStyle name="IvkDocStyle 3" xfId="67" xr:uid="{00000000-0005-0000-0000-00002F000000}"/>
    <cellStyle name="IvkDocStyle 4" xfId="68" xr:uid="{00000000-0005-0000-0000-000030000000}"/>
    <cellStyle name="IvkDocStyle 5" xfId="69" xr:uid="{00000000-0005-0000-0000-000031000000}"/>
    <cellStyle name="IvkDocStyle 6" xfId="70" xr:uid="{00000000-0005-0000-0000-000032000000}"/>
    <cellStyle name="IvkDocStyle 7" xfId="71" xr:uid="{00000000-0005-0000-0000-000033000000}"/>
    <cellStyle name="IvkDocStyle 8" xfId="72" xr:uid="{00000000-0005-0000-0000-000034000000}"/>
    <cellStyle name="IvkDocStyle 9" xfId="73" xr:uid="{00000000-0005-0000-0000-000035000000}"/>
    <cellStyle name="TableStyleLight1" xfId="16" xr:uid="{00000000-0005-0000-0000-000036000000}"/>
    <cellStyle name="Акцентування1 2" xfId="74" xr:uid="{00000000-0005-0000-0000-000037000000}"/>
    <cellStyle name="Акцентування2 2" xfId="75" xr:uid="{00000000-0005-0000-0000-000038000000}"/>
    <cellStyle name="Акцентування3 2" xfId="76" xr:uid="{00000000-0005-0000-0000-000039000000}"/>
    <cellStyle name="Акцентування4 2" xfId="77" xr:uid="{00000000-0005-0000-0000-00003A000000}"/>
    <cellStyle name="Акцентування5 2" xfId="78" xr:uid="{00000000-0005-0000-0000-00003B000000}"/>
    <cellStyle name="Акцентування6 2" xfId="79" xr:uid="{00000000-0005-0000-0000-00003C000000}"/>
    <cellStyle name="Ввід 2" xfId="80" xr:uid="{00000000-0005-0000-0000-00003D000000}"/>
    <cellStyle name="Гіперпосилання" xfId="1" builtinId="8"/>
    <cellStyle name="Гіперпосилання 2" xfId="81" xr:uid="{00000000-0005-0000-0000-00003F000000}"/>
    <cellStyle name="Гіперпосилання 2 2" xfId="82" xr:uid="{00000000-0005-0000-0000-000040000000}"/>
    <cellStyle name="Гіперпосилання 3" xfId="83" xr:uid="{00000000-0005-0000-0000-000041000000}"/>
    <cellStyle name="Добре 2" xfId="84" xr:uid="{00000000-0005-0000-0000-000042000000}"/>
    <cellStyle name="Заголовок 1 2" xfId="85" xr:uid="{00000000-0005-0000-0000-000043000000}"/>
    <cellStyle name="Заголовок 1 2 2" xfId="86" xr:uid="{00000000-0005-0000-0000-000044000000}"/>
    <cellStyle name="Заголовок 1 3" xfId="87" xr:uid="{00000000-0005-0000-0000-000045000000}"/>
    <cellStyle name="Заголовок 2 2" xfId="88" xr:uid="{00000000-0005-0000-0000-000046000000}"/>
    <cellStyle name="Заголовок 2 2 2" xfId="89" xr:uid="{00000000-0005-0000-0000-000047000000}"/>
    <cellStyle name="Заголовок 2 3" xfId="90" xr:uid="{00000000-0005-0000-0000-000048000000}"/>
    <cellStyle name="Заголовок 3 2" xfId="91" xr:uid="{00000000-0005-0000-0000-000049000000}"/>
    <cellStyle name="Заголовок 3 2 2" xfId="92" xr:uid="{00000000-0005-0000-0000-00004A000000}"/>
    <cellStyle name="Заголовок 3 3" xfId="93" xr:uid="{00000000-0005-0000-0000-00004B000000}"/>
    <cellStyle name="Заголовок 4 2" xfId="94" xr:uid="{00000000-0005-0000-0000-00004C000000}"/>
    <cellStyle name="Заголовок 4 2 2" xfId="95" xr:uid="{00000000-0005-0000-0000-00004D000000}"/>
    <cellStyle name="Заголовок 4 3" xfId="96" xr:uid="{00000000-0005-0000-0000-00004E000000}"/>
    <cellStyle name="Звичайний" xfId="0" builtinId="0"/>
    <cellStyle name="Звичайний 10" xfId="97" xr:uid="{00000000-0005-0000-0000-000050000000}"/>
    <cellStyle name="Звичайний 10 2" xfId="141" xr:uid="{00000000-0005-0000-0000-000051000000}"/>
    <cellStyle name="Звичайний 11" xfId="18" xr:uid="{00000000-0005-0000-0000-000052000000}"/>
    <cellStyle name="Звичайний 11 2" xfId="128" xr:uid="{00000000-0005-0000-0000-000053000000}"/>
    <cellStyle name="Звичайний 11 2 2" xfId="145" xr:uid="{00000000-0005-0000-0000-000054000000}"/>
    <cellStyle name="Звичайний 11 3" xfId="140" xr:uid="{00000000-0005-0000-0000-000055000000}"/>
    <cellStyle name="Звичайний 12" xfId="130" xr:uid="{00000000-0005-0000-0000-000056000000}"/>
    <cellStyle name="Звичайний 12 2" xfId="146" xr:uid="{00000000-0005-0000-0000-000057000000}"/>
    <cellStyle name="Звичайний 13" xfId="133" xr:uid="{00000000-0005-0000-0000-000058000000}"/>
    <cellStyle name="Звичайний 14" xfId="24" xr:uid="{00000000-0005-0000-0000-000059000000}"/>
    <cellStyle name="Звичайний 14 2" xfId="136" xr:uid="{00000000-0005-0000-0000-00005A000000}"/>
    <cellStyle name="Звичайний 14 2 2" xfId="147" xr:uid="{00000000-0005-0000-0000-00005B000000}"/>
    <cellStyle name="Звичайний 2" xfId="2" xr:uid="{00000000-0005-0000-0000-00005C000000}"/>
    <cellStyle name="Звичайний 2 10" xfId="13" xr:uid="{00000000-0005-0000-0000-00005D000000}"/>
    <cellStyle name="Звичайний 2 11" xfId="98" xr:uid="{00000000-0005-0000-0000-00005E000000}"/>
    <cellStyle name="Звичайний 2 2" xfId="3" xr:uid="{00000000-0005-0000-0000-00005F000000}"/>
    <cellStyle name="Звичайний 2 2 2" xfId="99" xr:uid="{00000000-0005-0000-0000-000060000000}"/>
    <cellStyle name="Звичайний 2 3" xfId="4" xr:uid="{00000000-0005-0000-0000-000061000000}"/>
    <cellStyle name="Звичайний 2 3 2" xfId="100" xr:uid="{00000000-0005-0000-0000-000062000000}"/>
    <cellStyle name="Звичайний 2 4" xfId="101" xr:uid="{00000000-0005-0000-0000-000063000000}"/>
    <cellStyle name="Звичайний 2 5" xfId="102" xr:uid="{00000000-0005-0000-0000-000064000000}"/>
    <cellStyle name="Звичайний 2 6" xfId="103" xr:uid="{00000000-0005-0000-0000-000065000000}"/>
    <cellStyle name="Звичайний 2 7" xfId="104" xr:uid="{00000000-0005-0000-0000-000066000000}"/>
    <cellStyle name="Звичайний 2 8" xfId="105" xr:uid="{00000000-0005-0000-0000-000067000000}"/>
    <cellStyle name="Звичайний 2 9" xfId="106" xr:uid="{00000000-0005-0000-0000-000068000000}"/>
    <cellStyle name="Звичайний 3" xfId="5" xr:uid="{00000000-0005-0000-0000-000069000000}"/>
    <cellStyle name="Звичайний 3 2" xfId="6" xr:uid="{00000000-0005-0000-0000-00006A000000}"/>
    <cellStyle name="Звичайний 3 2 2" xfId="109" xr:uid="{00000000-0005-0000-0000-00006B000000}"/>
    <cellStyle name="Звичайний 3 2 3" xfId="108" xr:uid="{00000000-0005-0000-0000-00006C000000}"/>
    <cellStyle name="Звичайний 3 3" xfId="14" xr:uid="{00000000-0005-0000-0000-00006D000000}"/>
    <cellStyle name="Звичайний 3 4" xfId="107" xr:uid="{00000000-0005-0000-0000-00006E000000}"/>
    <cellStyle name="Звичайний 4" xfId="20" xr:uid="{00000000-0005-0000-0000-00006F000000}"/>
    <cellStyle name="Звичайний 4 2" xfId="110" xr:uid="{00000000-0005-0000-0000-000070000000}"/>
    <cellStyle name="Звичайний 5" xfId="17" xr:uid="{00000000-0005-0000-0000-000071000000}"/>
    <cellStyle name="Звичайний 5 2" xfId="111" xr:uid="{00000000-0005-0000-0000-000072000000}"/>
    <cellStyle name="Звичайний 5 2 2" xfId="142" xr:uid="{00000000-0005-0000-0000-000073000000}"/>
    <cellStyle name="Звичайний 5 3" xfId="139" xr:uid="{00000000-0005-0000-0000-000074000000}"/>
    <cellStyle name="Звичайний 6" xfId="112" xr:uid="{00000000-0005-0000-0000-000075000000}"/>
    <cellStyle name="Звичайний 7" xfId="26" xr:uid="{00000000-0005-0000-0000-000076000000}"/>
    <cellStyle name="Звичайний 7 2" xfId="113" xr:uid="{00000000-0005-0000-0000-000077000000}"/>
    <cellStyle name="Звичайний 7 2 2" xfId="143" xr:uid="{00000000-0005-0000-0000-000078000000}"/>
    <cellStyle name="Звичайний 8" xfId="114" xr:uid="{00000000-0005-0000-0000-000079000000}"/>
    <cellStyle name="Звичайний 8 2" xfId="144" xr:uid="{00000000-0005-0000-0000-00007A000000}"/>
    <cellStyle name="Звичайний 9" xfId="115" xr:uid="{00000000-0005-0000-0000-00007B000000}"/>
    <cellStyle name="Зв'язана клітинка 2" xfId="116" xr:uid="{00000000-0005-0000-0000-00007C000000}"/>
    <cellStyle name="Контрольна клітинка 2" xfId="117" xr:uid="{00000000-0005-0000-0000-00007D000000}"/>
    <cellStyle name="Назва 2" xfId="118" xr:uid="{00000000-0005-0000-0000-00007E000000}"/>
    <cellStyle name="Обчислення 2" xfId="119" xr:uid="{00000000-0005-0000-0000-00007F000000}"/>
    <cellStyle name="Обычный 10" xfId="27" xr:uid="{00000000-0005-0000-0000-000080000000}"/>
    <cellStyle name="Обычный 10 3" xfId="21" xr:uid="{00000000-0005-0000-0000-000081000000}"/>
    <cellStyle name="Обычный 2" xfId="7" xr:uid="{00000000-0005-0000-0000-000082000000}"/>
    <cellStyle name="Обычный 2 2" xfId="8" xr:uid="{00000000-0005-0000-0000-000083000000}"/>
    <cellStyle name="Обычный 27" xfId="148" xr:uid="{6A030ECD-C8DD-4CF5-8F19-D8B62D4E76E1}"/>
    <cellStyle name="Обычный 3" xfId="12" xr:uid="{00000000-0005-0000-0000-000084000000}"/>
    <cellStyle name="Обычный 3 4" xfId="25" xr:uid="{00000000-0005-0000-0000-000085000000}"/>
    <cellStyle name="Обычный 4" xfId="19" xr:uid="{00000000-0005-0000-0000-000086000000}"/>
    <cellStyle name="Обычный 6" xfId="134" xr:uid="{00000000-0005-0000-0000-000087000000}"/>
    <cellStyle name="Обычный 8 2" xfId="23" xr:uid="{00000000-0005-0000-0000-000088000000}"/>
    <cellStyle name="Обычный 8 2 2" xfId="131" xr:uid="{00000000-0005-0000-0000-000089000000}"/>
    <cellStyle name="Обычный_Лист1" xfId="9" xr:uid="{00000000-0005-0000-0000-00008A000000}"/>
    <cellStyle name="Підсумок 2" xfId="120" xr:uid="{00000000-0005-0000-0000-00008B000000}"/>
    <cellStyle name="Поганий 2" xfId="121" xr:uid="{00000000-0005-0000-0000-00008C000000}"/>
    <cellStyle name="Примітка 2" xfId="122" xr:uid="{00000000-0005-0000-0000-00008D000000}"/>
    <cellStyle name="Результат 1" xfId="123" xr:uid="{00000000-0005-0000-0000-00008E000000}"/>
    <cellStyle name="Середній 2" xfId="124" xr:uid="{00000000-0005-0000-0000-00008F000000}"/>
    <cellStyle name="Текст попередження 2" xfId="125" xr:uid="{00000000-0005-0000-0000-000090000000}"/>
    <cellStyle name="Текст пояснення 2" xfId="126" xr:uid="{00000000-0005-0000-0000-000091000000}"/>
    <cellStyle name="Фінансовий 2" xfId="10" xr:uid="{00000000-0005-0000-0000-000092000000}"/>
    <cellStyle name="Фінансовий 2 2" xfId="127" xr:uid="{00000000-0005-0000-0000-000093000000}"/>
  </cellStyles>
  <dxfs count="0"/>
  <tableStyles count="0" defaultTableStyle="TableStyleMedium9" defaultPivotStyle="PivotStyleLight16"/>
  <colors>
    <mruColors>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karer.in.ua/zaporozhskoe-kareroupravlenie.php" TargetMode="External"/><Relationship Id="rId2" Type="http://schemas.openxmlformats.org/officeDocument/2006/relationships/hyperlink" Target="https://www.karer.in.ua/zaporozhskoe-kareroupravlenie.php" TargetMode="External"/><Relationship Id="rId1" Type="http://schemas.openxmlformats.org/officeDocument/2006/relationships/hyperlink" Target="https://www.karer.in.ua/zaporozhskoe-kareroupravlenie.php" TargetMode="External"/><Relationship Id="rId5" Type="http://schemas.openxmlformats.org/officeDocument/2006/relationships/customProperty" Target="../customProperty2.bin"/><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pageSetUpPr fitToPage="1"/>
  </sheetPr>
  <dimension ref="A1:S881"/>
  <sheetViews>
    <sheetView tabSelected="1" zoomScale="80" zoomScaleNormal="80" zoomScaleSheetLayoutView="40" workbookViewId="0">
      <pane xSplit="1" topLeftCell="B1" activePane="topRight" state="frozen"/>
      <selection pane="topRight" activeCell="B23" sqref="B23"/>
    </sheetView>
  </sheetViews>
  <sheetFormatPr defaultColWidth="9.28515625" defaultRowHeight="14.25" outlineLevelRow="1" outlineLevelCol="1" x14ac:dyDescent="0.2"/>
  <cols>
    <col min="1" max="1" width="9.5703125" style="47" customWidth="1" outlineLevel="1"/>
    <col min="2" max="2" width="51.28515625" style="45" customWidth="1" outlineLevel="1"/>
    <col min="3" max="3" width="56.28515625" style="45" customWidth="1" outlineLevel="1"/>
    <col min="4" max="4" width="12.7109375" style="45" customWidth="1"/>
    <col min="5" max="5" width="14.28515625" style="40" bestFit="1" customWidth="1"/>
    <col min="6" max="6" width="13" style="40" customWidth="1"/>
    <col min="7" max="7" width="17.140625" style="40" customWidth="1"/>
    <col min="8" max="8" width="15" style="40" customWidth="1"/>
    <col min="9" max="9" width="17.140625" style="40" customWidth="1"/>
    <col min="10" max="10" width="19.28515625" style="337" customWidth="1"/>
    <col min="11" max="11" width="23.7109375" style="40" customWidth="1"/>
    <col min="12" max="16384" width="9.28515625" style="40"/>
  </cols>
  <sheetData>
    <row r="1" spans="1:10" ht="15" x14ac:dyDescent="0.25">
      <c r="B1" s="625" t="s">
        <v>1046</v>
      </c>
      <c r="C1" s="629"/>
    </row>
    <row r="2" spans="1:10" ht="15" x14ac:dyDescent="0.25">
      <c r="B2" s="625" t="s">
        <v>1047</v>
      </c>
      <c r="C2" s="630"/>
    </row>
    <row r="3" spans="1:10" ht="15" x14ac:dyDescent="0.25">
      <c r="B3" s="625" t="s">
        <v>1048</v>
      </c>
      <c r="C3" s="631"/>
    </row>
    <row r="4" spans="1:10" ht="15" x14ac:dyDescent="0.25">
      <c r="B4" s="625" t="s">
        <v>1049</v>
      </c>
      <c r="C4" s="632"/>
    </row>
    <row r="5" spans="1:10" ht="15" x14ac:dyDescent="0.25">
      <c r="B5" s="625" t="s">
        <v>1050</v>
      </c>
      <c r="C5" s="632"/>
    </row>
    <row r="6" spans="1:10" ht="15" x14ac:dyDescent="0.25">
      <c r="B6" s="625" t="s">
        <v>1051</v>
      </c>
      <c r="C6" s="632"/>
    </row>
    <row r="7" spans="1:10" ht="15" x14ac:dyDescent="0.25">
      <c r="B7" s="625" t="s">
        <v>1052</v>
      </c>
      <c r="C7" s="629"/>
    </row>
    <row r="8" spans="1:10" ht="15" x14ac:dyDescent="0.25">
      <c r="B8" s="626" t="s">
        <v>1053</v>
      </c>
      <c r="C8" s="630"/>
    </row>
    <row r="9" spans="1:10" x14ac:dyDescent="0.2">
      <c r="B9" s="627"/>
      <c r="C9" s="633"/>
    </row>
    <row r="10" spans="1:10" ht="15" x14ac:dyDescent="0.25">
      <c r="B10" s="628" t="s">
        <v>1054</v>
      </c>
      <c r="C10" s="629"/>
    </row>
    <row r="13" spans="1:10" ht="19.899999999999999" customHeight="1" x14ac:dyDescent="0.2">
      <c r="B13" s="279"/>
      <c r="C13" s="40"/>
    </row>
    <row r="14" spans="1:10" s="49" customFormat="1" ht="21.6" customHeight="1" x14ac:dyDescent="0.2">
      <c r="A14" s="278"/>
      <c r="B14" s="280" t="s">
        <v>155</v>
      </c>
      <c r="C14" s="40"/>
      <c r="D14" s="40"/>
      <c r="E14" s="695" t="s">
        <v>632</v>
      </c>
      <c r="F14" s="695"/>
      <c r="G14" s="695"/>
      <c r="H14" s="695"/>
      <c r="I14" s="695"/>
      <c r="J14" s="695"/>
    </row>
    <row r="15" spans="1:10" s="49" customFormat="1" ht="18.600000000000001" customHeight="1" x14ac:dyDescent="0.2">
      <c r="A15" s="278"/>
      <c r="B15" s="280"/>
      <c r="C15" s="281"/>
      <c r="D15" s="40"/>
      <c r="E15" s="695" t="s">
        <v>634</v>
      </c>
      <c r="F15" s="695"/>
      <c r="G15" s="695"/>
      <c r="H15" s="695"/>
      <c r="I15" s="695"/>
      <c r="J15" s="695"/>
    </row>
    <row r="16" spans="1:10" s="49" customFormat="1" ht="17.45" customHeight="1" x14ac:dyDescent="0.2">
      <c r="A16" s="278"/>
      <c r="B16" s="634"/>
      <c r="C16" s="622"/>
      <c r="D16" s="40"/>
      <c r="E16" s="237"/>
      <c r="F16" s="237"/>
      <c r="G16" s="237"/>
      <c r="H16" s="237"/>
      <c r="I16" s="237"/>
      <c r="J16" s="237"/>
    </row>
    <row r="17" spans="1:19" s="49" customFormat="1" ht="28.9" customHeight="1" x14ac:dyDescent="0.2">
      <c r="A17" s="278"/>
      <c r="B17" s="280"/>
      <c r="C17" s="40"/>
      <c r="D17" s="698" t="s">
        <v>141</v>
      </c>
      <c r="E17" s="698"/>
      <c r="F17" s="698"/>
      <c r="G17" s="698"/>
      <c r="J17" s="338"/>
    </row>
    <row r="18" spans="1:19" ht="52.35" customHeight="1" x14ac:dyDescent="0.2">
      <c r="A18" s="703" t="s">
        <v>128</v>
      </c>
      <c r="B18" s="703"/>
      <c r="C18" s="699" t="s">
        <v>635</v>
      </c>
      <c r="D18" s="699"/>
      <c r="E18" s="699"/>
      <c r="F18" s="699"/>
      <c r="G18" s="699"/>
      <c r="H18" s="699"/>
      <c r="I18" s="699"/>
      <c r="J18" s="699"/>
    </row>
    <row r="19" spans="1:19" ht="12" customHeight="1" x14ac:dyDescent="0.2">
      <c r="A19" s="282"/>
      <c r="B19" s="283"/>
      <c r="C19" s="284" t="s">
        <v>111</v>
      </c>
      <c r="D19" s="700"/>
      <c r="E19" s="700"/>
      <c r="F19" s="700"/>
      <c r="G19" s="700"/>
      <c r="H19" s="700"/>
      <c r="I19" s="700"/>
    </row>
    <row r="20" spans="1:19" ht="138" customHeight="1" x14ac:dyDescent="0.2">
      <c r="A20" s="635" t="s">
        <v>21</v>
      </c>
      <c r="B20" s="636" t="s">
        <v>36</v>
      </c>
      <c r="C20" s="636" t="s">
        <v>35</v>
      </c>
      <c r="D20" s="636" t="s">
        <v>30</v>
      </c>
      <c r="E20" s="637" t="s">
        <v>31</v>
      </c>
      <c r="F20" s="638" t="s">
        <v>137</v>
      </c>
      <c r="G20" s="638" t="s">
        <v>138</v>
      </c>
      <c r="H20" s="638" t="s">
        <v>139</v>
      </c>
      <c r="I20" s="637" t="s">
        <v>140</v>
      </c>
      <c r="J20" s="639" t="s">
        <v>115</v>
      </c>
    </row>
    <row r="21" spans="1:19" ht="24.6" customHeight="1" x14ac:dyDescent="0.2">
      <c r="A21" s="285" t="s">
        <v>111</v>
      </c>
      <c r="B21" s="285" t="s">
        <v>25</v>
      </c>
      <c r="C21" s="285" t="s">
        <v>26</v>
      </c>
      <c r="D21" s="285" t="s">
        <v>27</v>
      </c>
      <c r="E21" s="694" t="s">
        <v>28</v>
      </c>
      <c r="F21" s="285" t="s">
        <v>29</v>
      </c>
      <c r="G21" s="285" t="s">
        <v>112</v>
      </c>
      <c r="H21" s="285" t="s">
        <v>113</v>
      </c>
      <c r="I21" s="285" t="s">
        <v>5</v>
      </c>
      <c r="J21" s="694">
        <v>10</v>
      </c>
    </row>
    <row r="22" spans="1:19" s="41" customFormat="1" ht="28.9" customHeight="1" x14ac:dyDescent="0.2">
      <c r="A22" s="233" t="s">
        <v>830</v>
      </c>
      <c r="B22" s="701" t="s">
        <v>675</v>
      </c>
      <c r="C22" s="701"/>
      <c r="D22" s="156"/>
      <c r="E22" s="298"/>
      <c r="F22" s="299"/>
      <c r="G22" s="299"/>
      <c r="H22" s="299"/>
      <c r="I22" s="300">
        <f>(SUM(I23:I38))</f>
        <v>0</v>
      </c>
      <c r="J22" s="339"/>
    </row>
    <row r="23" spans="1:19" s="42" customFormat="1" ht="46.9" customHeight="1" outlineLevel="1" x14ac:dyDescent="0.2">
      <c r="A23" s="413" t="s">
        <v>74</v>
      </c>
      <c r="B23" s="402" t="s">
        <v>844</v>
      </c>
      <c r="C23" s="403" t="s">
        <v>655</v>
      </c>
      <c r="D23" s="169" t="s">
        <v>70</v>
      </c>
      <c r="E23" s="301">
        <v>1</v>
      </c>
      <c r="F23" s="640">
        <v>0</v>
      </c>
      <c r="G23" s="640">
        <v>0</v>
      </c>
      <c r="H23" s="641">
        <v>0</v>
      </c>
      <c r="I23" s="301">
        <f t="shared" ref="I23" si="0">SUM(F23:H23)*E23</f>
        <v>0</v>
      </c>
      <c r="J23" s="339" t="s">
        <v>116</v>
      </c>
    </row>
    <row r="24" spans="1:19" s="42" customFormat="1" ht="58.9" customHeight="1" outlineLevel="1" x14ac:dyDescent="0.2">
      <c r="A24" s="571" t="s">
        <v>32</v>
      </c>
      <c r="B24" s="60" t="s">
        <v>682</v>
      </c>
      <c r="C24" s="60" t="s">
        <v>1073</v>
      </c>
      <c r="D24" s="57" t="s">
        <v>0</v>
      </c>
      <c r="E24" s="728">
        <v>100</v>
      </c>
      <c r="F24" s="640">
        <v>0</v>
      </c>
      <c r="G24" s="640">
        <v>0</v>
      </c>
      <c r="H24" s="641">
        <v>0</v>
      </c>
      <c r="I24" s="729">
        <f t="shared" ref="I24:I25" si="1">SUM(F24:H24)*E24</f>
        <v>0</v>
      </c>
      <c r="J24" s="293" t="s">
        <v>116</v>
      </c>
      <c r="K24" s="730"/>
      <c r="L24" s="730"/>
      <c r="M24" s="730"/>
      <c r="N24" s="730"/>
      <c r="O24" s="730"/>
      <c r="P24" s="731"/>
      <c r="Q24" s="731"/>
      <c r="R24" s="731"/>
      <c r="S24" s="731"/>
    </row>
    <row r="25" spans="1:19" s="42" customFormat="1" ht="43.15" customHeight="1" outlineLevel="1" x14ac:dyDescent="0.2">
      <c r="A25" s="572" t="s">
        <v>75</v>
      </c>
      <c r="B25" s="512" t="s">
        <v>165</v>
      </c>
      <c r="C25" s="202" t="s">
        <v>610</v>
      </c>
      <c r="D25" s="249" t="s">
        <v>0</v>
      </c>
      <c r="E25" s="529">
        <v>25</v>
      </c>
      <c r="F25" s="640">
        <v>0</v>
      </c>
      <c r="G25" s="640">
        <v>0</v>
      </c>
      <c r="H25" s="641">
        <v>0</v>
      </c>
      <c r="I25" s="370">
        <f t="shared" si="1"/>
        <v>0</v>
      </c>
      <c r="J25" s="293" t="s">
        <v>116</v>
      </c>
    </row>
    <row r="26" spans="1:19" s="42" customFormat="1" ht="46.5" customHeight="1" outlineLevel="1" x14ac:dyDescent="0.2">
      <c r="A26" s="571" t="s">
        <v>831</v>
      </c>
      <c r="B26" s="732" t="s">
        <v>611</v>
      </c>
      <c r="C26" s="733" t="s">
        <v>1072</v>
      </c>
      <c r="D26" s="734" t="s">
        <v>33</v>
      </c>
      <c r="E26" s="735">
        <v>10</v>
      </c>
      <c r="F26" s="640">
        <v>0</v>
      </c>
      <c r="G26" s="640">
        <v>0</v>
      </c>
      <c r="H26" s="641">
        <v>0</v>
      </c>
      <c r="I26" s="736">
        <f>SUM(F26:H26)*E26</f>
        <v>0</v>
      </c>
      <c r="J26" s="737" t="s">
        <v>116</v>
      </c>
      <c r="K26" s="730"/>
      <c r="L26" s="730"/>
      <c r="M26" s="730"/>
      <c r="N26" s="730"/>
      <c r="O26" s="730"/>
      <c r="P26" s="731"/>
      <c r="Q26" s="731"/>
      <c r="R26" s="731"/>
      <c r="S26" s="731"/>
    </row>
    <row r="27" spans="1:19" s="42" customFormat="1" ht="57" customHeight="1" outlineLevel="1" x14ac:dyDescent="0.2">
      <c r="A27" s="571" t="s">
        <v>832</v>
      </c>
      <c r="B27" s="738" t="s">
        <v>1064</v>
      </c>
      <c r="C27" s="739" t="s">
        <v>615</v>
      </c>
      <c r="D27" s="740" t="s">
        <v>16</v>
      </c>
      <c r="E27" s="530">
        <v>9</v>
      </c>
      <c r="F27" s="640">
        <v>0</v>
      </c>
      <c r="G27" s="640">
        <v>0</v>
      </c>
      <c r="H27" s="641">
        <v>0</v>
      </c>
      <c r="I27" s="176">
        <f t="shared" ref="I27:I30" si="2">SUM(F27:H27)*E27</f>
        <v>0</v>
      </c>
      <c r="J27" s="339" t="s">
        <v>117</v>
      </c>
      <c r="K27" s="730"/>
      <c r="L27" s="730"/>
      <c r="M27" s="730"/>
      <c r="N27" s="730"/>
      <c r="O27" s="730"/>
      <c r="P27" s="730"/>
      <c r="Q27" s="730"/>
      <c r="R27" s="730"/>
      <c r="S27" s="730"/>
    </row>
    <row r="28" spans="1:19" s="42" customFormat="1" ht="100.15" customHeight="1" outlineLevel="1" x14ac:dyDescent="0.2">
      <c r="A28" s="571" t="s">
        <v>833</v>
      </c>
      <c r="B28" s="741" t="s">
        <v>616</v>
      </c>
      <c r="C28" s="742" t="s">
        <v>1065</v>
      </c>
      <c r="D28" s="172" t="s">
        <v>16</v>
      </c>
      <c r="E28" s="176">
        <v>100</v>
      </c>
      <c r="F28" s="640">
        <v>0</v>
      </c>
      <c r="G28" s="640">
        <v>0</v>
      </c>
      <c r="H28" s="641">
        <v>0</v>
      </c>
      <c r="I28" s="176">
        <f t="shared" si="2"/>
        <v>0</v>
      </c>
      <c r="J28" s="339" t="s">
        <v>117</v>
      </c>
      <c r="K28" s="730"/>
      <c r="L28" s="730"/>
      <c r="M28" s="730"/>
      <c r="N28" s="730"/>
      <c r="O28" s="743"/>
      <c r="P28" s="731"/>
      <c r="Q28" s="731"/>
      <c r="R28" s="731"/>
      <c r="S28" s="731"/>
    </row>
    <row r="29" spans="1:19" s="42" customFormat="1" ht="34.9" customHeight="1" outlineLevel="1" x14ac:dyDescent="0.2">
      <c r="A29" s="571" t="s">
        <v>834</v>
      </c>
      <c r="B29" s="744" t="s">
        <v>364</v>
      </c>
      <c r="C29" s="744" t="s">
        <v>1059</v>
      </c>
      <c r="D29" s="745" t="s">
        <v>33</v>
      </c>
      <c r="E29" s="746">
        <v>5</v>
      </c>
      <c r="F29" s="640">
        <v>0</v>
      </c>
      <c r="G29" s="640">
        <v>0</v>
      </c>
      <c r="H29" s="641">
        <v>0</v>
      </c>
      <c r="I29" s="747">
        <f t="shared" si="2"/>
        <v>0</v>
      </c>
      <c r="J29" s="340" t="s">
        <v>116</v>
      </c>
      <c r="K29" s="730"/>
      <c r="L29" s="730"/>
      <c r="M29" s="730"/>
      <c r="N29" s="730"/>
      <c r="O29" s="730"/>
      <c r="P29" s="731"/>
      <c r="Q29" s="731"/>
      <c r="R29" s="731"/>
      <c r="S29" s="731"/>
    </row>
    <row r="30" spans="1:19" s="43" customFormat="1" ht="41.1" customHeight="1" outlineLevel="1" x14ac:dyDescent="0.2">
      <c r="A30" s="571" t="s">
        <v>835</v>
      </c>
      <c r="B30" s="748" t="s">
        <v>118</v>
      </c>
      <c r="C30" s="749" t="s">
        <v>1063</v>
      </c>
      <c r="D30" s="750" t="s">
        <v>6</v>
      </c>
      <c r="E30" s="149">
        <v>20</v>
      </c>
      <c r="F30" s="640">
        <v>0</v>
      </c>
      <c r="G30" s="640">
        <v>0</v>
      </c>
      <c r="H30" s="641">
        <v>0</v>
      </c>
      <c r="I30" s="176">
        <f t="shared" si="2"/>
        <v>0</v>
      </c>
      <c r="J30" s="339" t="s">
        <v>117</v>
      </c>
      <c r="K30" s="730"/>
      <c r="L30" s="751"/>
      <c r="M30" s="751"/>
      <c r="N30" s="751"/>
      <c r="O30" s="751"/>
      <c r="P30" s="751"/>
      <c r="Q30" s="751"/>
      <c r="R30" s="751"/>
      <c r="S30" s="751"/>
    </row>
    <row r="31" spans="1:19" s="43" customFormat="1" ht="55.9" customHeight="1" outlineLevel="1" x14ac:dyDescent="0.2">
      <c r="A31" s="571" t="s">
        <v>836</v>
      </c>
      <c r="B31" s="752" t="s">
        <v>683</v>
      </c>
      <c r="C31" s="753" t="s">
        <v>1066</v>
      </c>
      <c r="D31" s="754" t="s">
        <v>18</v>
      </c>
      <c r="E31" s="755">
        <v>16</v>
      </c>
      <c r="F31" s="640">
        <v>0</v>
      </c>
      <c r="G31" s="640">
        <v>0</v>
      </c>
      <c r="H31" s="641">
        <v>0</v>
      </c>
      <c r="I31" s="736">
        <f t="shared" ref="I31" si="3">SUM(F31:H31)*E31</f>
        <v>0</v>
      </c>
      <c r="J31" s="737" t="s">
        <v>116</v>
      </c>
      <c r="K31" s="730"/>
      <c r="L31" s="751"/>
      <c r="M31" s="751"/>
      <c r="N31" s="751"/>
      <c r="O31" s="751"/>
      <c r="P31" s="751"/>
      <c r="Q31" s="751"/>
      <c r="R31" s="751"/>
      <c r="S31" s="751"/>
    </row>
    <row r="32" spans="1:19" s="42" customFormat="1" ht="55.9" customHeight="1" outlineLevel="1" x14ac:dyDescent="0.2">
      <c r="A32" s="572" t="s">
        <v>837</v>
      </c>
      <c r="B32" s="204" t="s">
        <v>768</v>
      </c>
      <c r="C32" s="513" t="s">
        <v>769</v>
      </c>
      <c r="D32" s="169" t="s">
        <v>72</v>
      </c>
      <c r="E32" s="530">
        <v>6</v>
      </c>
      <c r="F32" s="640">
        <v>0</v>
      </c>
      <c r="G32" s="640">
        <v>0</v>
      </c>
      <c r="H32" s="641">
        <v>0</v>
      </c>
      <c r="I32" s="176">
        <f t="shared" ref="I32:I37" si="4">SUM(F32:H32)*E32</f>
        <v>0</v>
      </c>
      <c r="J32" s="339" t="s">
        <v>117</v>
      </c>
    </row>
    <row r="33" spans="1:19" s="42" customFormat="1" ht="34.9" customHeight="1" outlineLevel="1" x14ac:dyDescent="0.2">
      <c r="A33" s="572" t="s">
        <v>838</v>
      </c>
      <c r="B33" s="514" t="s">
        <v>73</v>
      </c>
      <c r="C33" s="513" t="s">
        <v>847</v>
      </c>
      <c r="D33" s="169" t="s">
        <v>33</v>
      </c>
      <c r="E33" s="530">
        <v>4</v>
      </c>
      <c r="F33" s="640">
        <v>0</v>
      </c>
      <c r="G33" s="640">
        <v>0</v>
      </c>
      <c r="H33" s="641">
        <v>0</v>
      </c>
      <c r="I33" s="176">
        <f t="shared" si="4"/>
        <v>0</v>
      </c>
      <c r="J33" s="339" t="s">
        <v>117</v>
      </c>
    </row>
    <row r="34" spans="1:19" s="42" customFormat="1" ht="37.9" customHeight="1" outlineLevel="1" x14ac:dyDescent="0.2">
      <c r="A34" s="571" t="s">
        <v>839</v>
      </c>
      <c r="B34" s="752" t="s">
        <v>684</v>
      </c>
      <c r="C34" s="756" t="s">
        <v>1060</v>
      </c>
      <c r="D34" s="740" t="s">
        <v>72</v>
      </c>
      <c r="E34" s="530">
        <v>6</v>
      </c>
      <c r="F34" s="640">
        <v>0</v>
      </c>
      <c r="G34" s="640">
        <v>0</v>
      </c>
      <c r="H34" s="641">
        <v>0</v>
      </c>
      <c r="I34" s="176">
        <f t="shared" si="4"/>
        <v>0</v>
      </c>
      <c r="J34" s="339" t="s">
        <v>359</v>
      </c>
      <c r="K34" s="730"/>
      <c r="L34" s="730"/>
      <c r="M34" s="730"/>
      <c r="N34" s="730"/>
      <c r="O34" s="730"/>
      <c r="P34" s="761"/>
      <c r="Q34" s="761"/>
      <c r="R34" s="730"/>
      <c r="S34" s="730"/>
    </row>
    <row r="35" spans="1:19" s="42" customFormat="1" ht="45.2" customHeight="1" outlineLevel="1" x14ac:dyDescent="0.2">
      <c r="A35" s="571" t="s">
        <v>840</v>
      </c>
      <c r="B35" s="738" t="s">
        <v>357</v>
      </c>
      <c r="C35" s="739" t="s">
        <v>685</v>
      </c>
      <c r="D35" s="740" t="s">
        <v>71</v>
      </c>
      <c r="E35" s="530">
        <v>4</v>
      </c>
      <c r="F35" s="640">
        <v>0</v>
      </c>
      <c r="G35" s="640">
        <v>0</v>
      </c>
      <c r="H35" s="641">
        <v>0</v>
      </c>
      <c r="I35" s="176">
        <f t="shared" si="4"/>
        <v>0</v>
      </c>
      <c r="J35" s="339" t="s">
        <v>117</v>
      </c>
      <c r="K35" s="730"/>
      <c r="L35" s="730"/>
      <c r="M35" s="730"/>
      <c r="N35" s="730"/>
      <c r="O35" s="730"/>
      <c r="P35" s="730"/>
      <c r="Q35" s="730"/>
      <c r="R35" s="730"/>
      <c r="S35" s="730"/>
    </row>
    <row r="36" spans="1:19" s="42" customFormat="1" ht="102" customHeight="1" outlineLevel="1" x14ac:dyDescent="0.2">
      <c r="A36" s="571" t="s">
        <v>841</v>
      </c>
      <c r="B36" s="738" t="s">
        <v>360</v>
      </c>
      <c r="C36" s="757" t="s">
        <v>770</v>
      </c>
      <c r="D36" s="740" t="s">
        <v>630</v>
      </c>
      <c r="E36" s="758">
        <f>6*17*25</f>
        <v>2550</v>
      </c>
      <c r="F36" s="640">
        <v>0</v>
      </c>
      <c r="G36" s="640">
        <v>0</v>
      </c>
      <c r="H36" s="641">
        <v>0</v>
      </c>
      <c r="I36" s="176">
        <f t="shared" si="4"/>
        <v>0</v>
      </c>
      <c r="J36" s="339" t="s">
        <v>117</v>
      </c>
      <c r="K36" s="730"/>
      <c r="L36" s="730"/>
      <c r="M36" s="730"/>
      <c r="N36" s="730"/>
      <c r="O36" s="730"/>
      <c r="P36" s="762"/>
      <c r="Q36" s="762"/>
      <c r="R36" s="762"/>
      <c r="S36" s="762"/>
    </row>
    <row r="37" spans="1:19" s="42" customFormat="1" ht="41.1" customHeight="1" outlineLevel="1" x14ac:dyDescent="0.2">
      <c r="A37" s="571" t="s">
        <v>842</v>
      </c>
      <c r="B37" s="390" t="s">
        <v>119</v>
      </c>
      <c r="C37" s="392" t="s">
        <v>850</v>
      </c>
      <c r="D37" s="172" t="s">
        <v>33</v>
      </c>
      <c r="E37" s="176">
        <v>2</v>
      </c>
      <c r="F37" s="640">
        <v>0</v>
      </c>
      <c r="G37" s="640">
        <v>0</v>
      </c>
      <c r="H37" s="641">
        <v>0</v>
      </c>
      <c r="I37" s="176">
        <f t="shared" si="4"/>
        <v>0</v>
      </c>
      <c r="J37" s="339" t="s">
        <v>117</v>
      </c>
    </row>
    <row r="38" spans="1:19" s="42" customFormat="1" ht="45.6" customHeight="1" outlineLevel="1" x14ac:dyDescent="0.2">
      <c r="A38" s="571" t="s">
        <v>843</v>
      </c>
      <c r="B38" s="759" t="s">
        <v>156</v>
      </c>
      <c r="C38" s="201" t="s">
        <v>852</v>
      </c>
      <c r="D38" s="760" t="s">
        <v>2</v>
      </c>
      <c r="E38" s="153">
        <v>1</v>
      </c>
      <c r="F38" s="640">
        <v>0</v>
      </c>
      <c r="G38" s="640">
        <v>0</v>
      </c>
      <c r="H38" s="641">
        <v>0</v>
      </c>
      <c r="I38" s="153">
        <f t="shared" ref="I38" si="5">SUM(F38:H38)*E38</f>
        <v>0</v>
      </c>
      <c r="J38" s="341" t="s">
        <v>262</v>
      </c>
    </row>
    <row r="39" spans="1:19" s="42" customFormat="1" ht="26.45" customHeight="1" x14ac:dyDescent="0.2">
      <c r="A39" s="233" t="s">
        <v>32</v>
      </c>
      <c r="B39" s="697" t="s">
        <v>389</v>
      </c>
      <c r="C39" s="697"/>
      <c r="D39" s="157"/>
      <c r="E39" s="243"/>
      <c r="F39" s="160"/>
      <c r="G39" s="160"/>
      <c r="H39" s="160"/>
      <c r="I39" s="162">
        <f>SUM(I40:I65)</f>
        <v>0</v>
      </c>
      <c r="J39" s="339"/>
    </row>
    <row r="40" spans="1:19" s="44" customFormat="1" ht="43.15" customHeight="1" outlineLevel="1" x14ac:dyDescent="0.2">
      <c r="A40" s="413" t="s">
        <v>467</v>
      </c>
      <c r="B40" s="181" t="s">
        <v>619</v>
      </c>
      <c r="C40" s="205" t="s">
        <v>669</v>
      </c>
      <c r="D40" s="172" t="s">
        <v>114</v>
      </c>
      <c r="E40" s="176">
        <v>50</v>
      </c>
      <c r="F40" s="642">
        <v>0</v>
      </c>
      <c r="G40" s="642">
        <v>0</v>
      </c>
      <c r="H40" s="643">
        <v>0</v>
      </c>
      <c r="I40" s="176">
        <f t="shared" ref="I40" si="6">SUM(F40:H40)*E40</f>
        <v>0</v>
      </c>
      <c r="J40" s="339" t="s">
        <v>117</v>
      </c>
    </row>
    <row r="41" spans="1:19" s="44" customFormat="1" ht="57.6" customHeight="1" outlineLevel="1" x14ac:dyDescent="0.2">
      <c r="A41" s="413" t="s">
        <v>468</v>
      </c>
      <c r="B41" s="390" t="s">
        <v>620</v>
      </c>
      <c r="C41" s="205" t="s">
        <v>699</v>
      </c>
      <c r="D41" s="172" t="s">
        <v>33</v>
      </c>
      <c r="E41" s="176">
        <v>2</v>
      </c>
      <c r="F41" s="644">
        <v>0</v>
      </c>
      <c r="G41" s="644">
        <v>0</v>
      </c>
      <c r="H41" s="644">
        <v>0</v>
      </c>
      <c r="I41" s="176">
        <f>SUM(F41:H41)*E41</f>
        <v>0</v>
      </c>
      <c r="J41" s="339" t="s">
        <v>117</v>
      </c>
    </row>
    <row r="42" spans="1:19" s="44" customFormat="1" ht="56.45" customHeight="1" outlineLevel="1" x14ac:dyDescent="0.2">
      <c r="A42" s="413" t="s">
        <v>365</v>
      </c>
      <c r="B42" s="390" t="s">
        <v>621</v>
      </c>
      <c r="C42" s="173" t="s">
        <v>698</v>
      </c>
      <c r="D42" s="158" t="s">
        <v>33</v>
      </c>
      <c r="E42" s="531">
        <v>1</v>
      </c>
      <c r="F42" s="645">
        <v>0</v>
      </c>
      <c r="G42" s="646">
        <f>-4000*0.385/E42*0</f>
        <v>0</v>
      </c>
      <c r="H42" s="646">
        <v>0</v>
      </c>
      <c r="I42" s="304">
        <f t="shared" ref="I42" si="7">SUM(F42:H42)*E42</f>
        <v>0</v>
      </c>
      <c r="J42" s="342" t="s">
        <v>117</v>
      </c>
    </row>
    <row r="43" spans="1:19" s="44" customFormat="1" ht="46.15" customHeight="1" outlineLevel="1" x14ac:dyDescent="0.2">
      <c r="A43" s="413" t="s">
        <v>469</v>
      </c>
      <c r="B43" s="517" t="s">
        <v>622</v>
      </c>
      <c r="C43" s="518" t="s">
        <v>623</v>
      </c>
      <c r="D43" s="174" t="s">
        <v>33</v>
      </c>
      <c r="E43" s="532">
        <v>1</v>
      </c>
      <c r="F43" s="647">
        <v>0</v>
      </c>
      <c r="G43" s="647">
        <v>0</v>
      </c>
      <c r="H43" s="647">
        <v>0</v>
      </c>
      <c r="I43" s="305">
        <f t="shared" ref="I43:I53" si="8">SUM(F43:H43)*E43</f>
        <v>0</v>
      </c>
      <c r="J43" s="343" t="s">
        <v>359</v>
      </c>
    </row>
    <row r="44" spans="1:19" s="44" customFormat="1" ht="49.9" customHeight="1" outlineLevel="1" x14ac:dyDescent="0.2">
      <c r="A44" s="557" t="s">
        <v>778</v>
      </c>
      <c r="B44" s="519" t="s">
        <v>548</v>
      </c>
      <c r="C44" s="519" t="s">
        <v>624</v>
      </c>
      <c r="D44" s="175" t="s">
        <v>22</v>
      </c>
      <c r="E44" s="533">
        <f>C256</f>
        <v>200</v>
      </c>
      <c r="F44" s="647">
        <v>0</v>
      </c>
      <c r="G44" s="647">
        <v>0</v>
      </c>
      <c r="H44" s="647">
        <v>0</v>
      </c>
      <c r="I44" s="307">
        <f t="shared" si="8"/>
        <v>0</v>
      </c>
      <c r="J44" s="339" t="s">
        <v>359</v>
      </c>
    </row>
    <row r="45" spans="1:19" s="44" customFormat="1" ht="46.15" customHeight="1" outlineLevel="1" x14ac:dyDescent="0.2">
      <c r="A45" s="557" t="s">
        <v>779</v>
      </c>
      <c r="B45" s="390" t="s">
        <v>549</v>
      </c>
      <c r="C45" s="520" t="s">
        <v>854</v>
      </c>
      <c r="D45" s="172" t="s">
        <v>16</v>
      </c>
      <c r="E45" s="176">
        <f>E279</f>
        <v>270</v>
      </c>
      <c r="F45" s="647">
        <v>0</v>
      </c>
      <c r="G45" s="647">
        <v>0</v>
      </c>
      <c r="H45" s="647">
        <v>0</v>
      </c>
      <c r="I45" s="176">
        <f t="shared" si="8"/>
        <v>0</v>
      </c>
      <c r="J45" s="339" t="s">
        <v>117</v>
      </c>
    </row>
    <row r="46" spans="1:19" s="44" customFormat="1" ht="47.45" customHeight="1" outlineLevel="1" x14ac:dyDescent="0.2">
      <c r="A46" s="557" t="s">
        <v>780</v>
      </c>
      <c r="B46" s="390" t="s">
        <v>550</v>
      </c>
      <c r="C46" s="340" t="s">
        <v>738</v>
      </c>
      <c r="D46" s="172" t="s">
        <v>16</v>
      </c>
      <c r="E46" s="176">
        <f>E280</f>
        <v>200</v>
      </c>
      <c r="F46" s="647">
        <v>0</v>
      </c>
      <c r="G46" s="647">
        <v>0</v>
      </c>
      <c r="H46" s="647">
        <v>0</v>
      </c>
      <c r="I46" s="176">
        <f t="shared" si="8"/>
        <v>0</v>
      </c>
      <c r="J46" s="339" t="s">
        <v>117</v>
      </c>
    </row>
    <row r="47" spans="1:19" s="44" customFormat="1" ht="41.65" customHeight="1" outlineLevel="1" x14ac:dyDescent="0.2">
      <c r="A47" s="557" t="s">
        <v>772</v>
      </c>
      <c r="B47" s="521" t="s">
        <v>545</v>
      </c>
      <c r="C47" s="520" t="s">
        <v>739</v>
      </c>
      <c r="D47" s="144" t="s">
        <v>16</v>
      </c>
      <c r="E47" s="149">
        <v>20</v>
      </c>
      <c r="F47" s="647">
        <v>0</v>
      </c>
      <c r="G47" s="647">
        <v>0</v>
      </c>
      <c r="H47" s="647">
        <v>0</v>
      </c>
      <c r="I47" s="151">
        <f t="shared" si="8"/>
        <v>0</v>
      </c>
      <c r="J47" s="344" t="s">
        <v>117</v>
      </c>
    </row>
    <row r="48" spans="1:19" s="44" customFormat="1" ht="77.45" customHeight="1" outlineLevel="1" x14ac:dyDescent="0.2">
      <c r="A48" s="763" t="s">
        <v>781</v>
      </c>
      <c r="B48" s="390" t="s">
        <v>654</v>
      </c>
      <c r="C48" s="392" t="s">
        <v>1062</v>
      </c>
      <c r="D48" s="764" t="s">
        <v>22</v>
      </c>
      <c r="E48" s="176">
        <f>800</f>
        <v>800</v>
      </c>
      <c r="F48" s="647">
        <v>0</v>
      </c>
      <c r="G48" s="647">
        <v>0</v>
      </c>
      <c r="H48" s="647">
        <v>0</v>
      </c>
      <c r="I48" s="176">
        <f t="shared" si="8"/>
        <v>0</v>
      </c>
      <c r="J48" s="339" t="s">
        <v>117</v>
      </c>
      <c r="K48" s="388"/>
      <c r="L48" s="388"/>
      <c r="M48" s="388"/>
    </row>
    <row r="49" spans="1:13" s="44" customFormat="1" ht="84" customHeight="1" outlineLevel="1" x14ac:dyDescent="0.2">
      <c r="A49" s="763" t="s">
        <v>470</v>
      </c>
      <c r="B49" s="390" t="s">
        <v>363</v>
      </c>
      <c r="C49" s="392" t="s">
        <v>1061</v>
      </c>
      <c r="D49" s="764" t="s">
        <v>22</v>
      </c>
      <c r="E49" s="176">
        <v>600</v>
      </c>
      <c r="F49" s="647">
        <v>0</v>
      </c>
      <c r="G49" s="647">
        <v>0</v>
      </c>
      <c r="H49" s="647">
        <v>0</v>
      </c>
      <c r="I49" s="176">
        <f t="shared" si="8"/>
        <v>0</v>
      </c>
      <c r="J49" s="339" t="s">
        <v>117</v>
      </c>
      <c r="K49" s="388"/>
      <c r="L49" s="388"/>
      <c r="M49" s="388"/>
    </row>
    <row r="50" spans="1:13" s="42" customFormat="1" ht="67.150000000000006" customHeight="1" outlineLevel="1" x14ac:dyDescent="0.2">
      <c r="A50" s="224" t="s">
        <v>471</v>
      </c>
      <c r="B50" s="765" t="s">
        <v>1067</v>
      </c>
      <c r="C50" s="744" t="s">
        <v>686</v>
      </c>
      <c r="D50" s="172" t="s">
        <v>6</v>
      </c>
      <c r="E50" s="176">
        <v>50</v>
      </c>
      <c r="F50" s="647">
        <v>0</v>
      </c>
      <c r="G50" s="647">
        <v>0</v>
      </c>
      <c r="H50" s="647">
        <v>0</v>
      </c>
      <c r="I50" s="176">
        <f t="shared" si="8"/>
        <v>0</v>
      </c>
      <c r="J50" s="339" t="s">
        <v>117</v>
      </c>
      <c r="K50" s="730"/>
      <c r="L50" s="730"/>
      <c r="M50" s="730"/>
    </row>
    <row r="51" spans="1:13" s="42" customFormat="1" ht="59.65" customHeight="1" outlineLevel="1" x14ac:dyDescent="0.2">
      <c r="A51" s="557" t="s">
        <v>472</v>
      </c>
      <c r="B51" s="401" t="s">
        <v>362</v>
      </c>
      <c r="C51" s="137" t="s">
        <v>857</v>
      </c>
      <c r="D51" s="58" t="s">
        <v>6</v>
      </c>
      <c r="E51" s="534">
        <v>2.5</v>
      </c>
      <c r="F51" s="647">
        <v>0</v>
      </c>
      <c r="G51" s="647">
        <v>0</v>
      </c>
      <c r="H51" s="647">
        <v>0</v>
      </c>
      <c r="I51" s="176">
        <f t="shared" si="8"/>
        <v>0</v>
      </c>
      <c r="J51" s="339" t="s">
        <v>117</v>
      </c>
    </row>
    <row r="52" spans="1:13" s="42" customFormat="1" ht="54.6" customHeight="1" outlineLevel="1" x14ac:dyDescent="0.2">
      <c r="A52" s="557" t="s">
        <v>473</v>
      </c>
      <c r="B52" s="401" t="s">
        <v>625</v>
      </c>
      <c r="C52" s="137" t="s">
        <v>859</v>
      </c>
      <c r="D52" s="56" t="s">
        <v>373</v>
      </c>
      <c r="E52" s="176">
        <f>900*0.2</f>
        <v>180</v>
      </c>
      <c r="F52" s="647">
        <v>0</v>
      </c>
      <c r="G52" s="647">
        <v>0</v>
      </c>
      <c r="H52" s="647">
        <v>0</v>
      </c>
      <c r="I52" s="176">
        <f t="shared" si="8"/>
        <v>0</v>
      </c>
      <c r="J52" s="339" t="s">
        <v>117</v>
      </c>
      <c r="K52" s="424"/>
    </row>
    <row r="53" spans="1:13" s="42" customFormat="1" ht="35.65" customHeight="1" outlineLevel="1" x14ac:dyDescent="0.2">
      <c r="A53" s="557" t="s">
        <v>474</v>
      </c>
      <c r="B53" s="522" t="s">
        <v>773</v>
      </c>
      <c r="C53" s="522" t="s">
        <v>774</v>
      </c>
      <c r="D53" s="475" t="s">
        <v>1</v>
      </c>
      <c r="E53" s="476">
        <v>15</v>
      </c>
      <c r="F53" s="647">
        <v>0</v>
      </c>
      <c r="G53" s="647">
        <v>0</v>
      </c>
      <c r="H53" s="647">
        <v>0</v>
      </c>
      <c r="I53" s="477">
        <f t="shared" si="8"/>
        <v>0</v>
      </c>
      <c r="J53" s="478" t="s">
        <v>117</v>
      </c>
      <c r="K53" s="474"/>
    </row>
    <row r="54" spans="1:13" s="42" customFormat="1" ht="87.75" customHeight="1" outlineLevel="1" x14ac:dyDescent="0.2">
      <c r="A54" s="413" t="s">
        <v>475</v>
      </c>
      <c r="B54" s="410" t="s">
        <v>860</v>
      </c>
      <c r="C54" s="208" t="s">
        <v>864</v>
      </c>
      <c r="D54" s="150" t="s">
        <v>22</v>
      </c>
      <c r="E54" s="149">
        <v>210</v>
      </c>
      <c r="F54" s="647">
        <v>0</v>
      </c>
      <c r="G54" s="647">
        <v>0</v>
      </c>
      <c r="H54" s="647">
        <v>0</v>
      </c>
      <c r="I54" s="308">
        <f>SUM(F54:H54)*E54</f>
        <v>0</v>
      </c>
      <c r="J54" s="339" t="s">
        <v>117</v>
      </c>
    </row>
    <row r="55" spans="1:13" s="42" customFormat="1" ht="40.15" customHeight="1" outlineLevel="1" x14ac:dyDescent="0.2">
      <c r="A55" s="413" t="s">
        <v>476</v>
      </c>
      <c r="B55" s="410" t="s">
        <v>693</v>
      </c>
      <c r="C55" s="411" t="s">
        <v>747</v>
      </c>
      <c r="D55" s="150" t="s">
        <v>22</v>
      </c>
      <c r="E55" s="149">
        <f>E54</f>
        <v>210</v>
      </c>
      <c r="F55" s="647">
        <v>0</v>
      </c>
      <c r="G55" s="647">
        <v>0</v>
      </c>
      <c r="H55" s="647">
        <v>0</v>
      </c>
      <c r="I55" s="308">
        <f>SUM(F55:H55)*E55</f>
        <v>0</v>
      </c>
      <c r="J55" s="339" t="s">
        <v>117</v>
      </c>
    </row>
    <row r="56" spans="1:13" s="42" customFormat="1" ht="87" customHeight="1" outlineLevel="1" x14ac:dyDescent="0.2">
      <c r="A56" s="413" t="s">
        <v>477</v>
      </c>
      <c r="B56" s="524" t="s">
        <v>626</v>
      </c>
      <c r="C56" s="525" t="s">
        <v>697</v>
      </c>
      <c r="D56" s="145" t="s">
        <v>169</v>
      </c>
      <c r="E56" s="535">
        <f>3.1+0.4</f>
        <v>3.5</v>
      </c>
      <c r="F56" s="648">
        <v>0</v>
      </c>
      <c r="G56" s="646">
        <f>-4000*1/E56*0</f>
        <v>0</v>
      </c>
      <c r="H56" s="649">
        <v>0</v>
      </c>
      <c r="I56" s="177">
        <f t="shared" ref="I56" si="9">SUM(F56:H56)*E56</f>
        <v>0</v>
      </c>
      <c r="J56" s="341" t="s">
        <v>117</v>
      </c>
    </row>
    <row r="57" spans="1:13" s="42" customFormat="1" ht="45.6" customHeight="1" outlineLevel="1" x14ac:dyDescent="0.2">
      <c r="A57" s="413" t="s">
        <v>478</v>
      </c>
      <c r="B57" s="526" t="s">
        <v>670</v>
      </c>
      <c r="C57" s="527" t="s">
        <v>694</v>
      </c>
      <c r="D57" s="161" t="s">
        <v>67</v>
      </c>
      <c r="E57" s="536">
        <v>1</v>
      </c>
      <c r="F57" s="650">
        <v>0</v>
      </c>
      <c r="G57" s="650">
        <v>0</v>
      </c>
      <c r="H57" s="650">
        <v>0</v>
      </c>
      <c r="I57" s="309">
        <f t="shared" ref="I57:I58" si="10">SUM(F57:H57)*E57</f>
        <v>0</v>
      </c>
      <c r="J57" s="339" t="s">
        <v>117</v>
      </c>
    </row>
    <row r="58" spans="1:13" s="42" customFormat="1" ht="51" customHeight="1" outlineLevel="1" x14ac:dyDescent="0.2">
      <c r="A58" s="413" t="s">
        <v>479</v>
      </c>
      <c r="B58" s="528" t="s">
        <v>695</v>
      </c>
      <c r="C58" s="486" t="s">
        <v>867</v>
      </c>
      <c r="D58" s="159" t="s">
        <v>358</v>
      </c>
      <c r="E58" s="537">
        <v>150</v>
      </c>
      <c r="F58" s="650">
        <v>0</v>
      </c>
      <c r="G58" s="650">
        <v>0</v>
      </c>
      <c r="H58" s="650">
        <v>0</v>
      </c>
      <c r="I58" s="306">
        <f t="shared" si="10"/>
        <v>0</v>
      </c>
      <c r="J58" s="339" t="s">
        <v>117</v>
      </c>
    </row>
    <row r="59" spans="1:13" s="42" customFormat="1" ht="45" customHeight="1" outlineLevel="1" x14ac:dyDescent="0.2">
      <c r="A59" s="224" t="s">
        <v>480</v>
      </c>
      <c r="B59" s="293" t="s">
        <v>700</v>
      </c>
      <c r="C59" s="60" t="s">
        <v>1068</v>
      </c>
      <c r="D59" s="58" t="s">
        <v>22</v>
      </c>
      <c r="E59" s="177">
        <f>60+260</f>
        <v>320</v>
      </c>
      <c r="F59" s="650">
        <v>0</v>
      </c>
      <c r="G59" s="650">
        <v>0</v>
      </c>
      <c r="H59" s="650">
        <v>0</v>
      </c>
      <c r="I59" s="177">
        <f t="shared" ref="I59" si="11">SUM(F59:H59)*E59</f>
        <v>0</v>
      </c>
      <c r="J59" s="341" t="s">
        <v>117</v>
      </c>
      <c r="K59" s="730"/>
      <c r="L59" s="730"/>
      <c r="M59" s="730"/>
    </row>
    <row r="60" spans="1:13" s="42" customFormat="1" ht="97.5" customHeight="1" outlineLevel="1" x14ac:dyDescent="0.2">
      <c r="A60" s="413" t="s">
        <v>481</v>
      </c>
      <c r="B60" s="401" t="s">
        <v>551</v>
      </c>
      <c r="C60" s="137" t="s">
        <v>716</v>
      </c>
      <c r="D60" s="58" t="s">
        <v>170</v>
      </c>
      <c r="E60" s="177">
        <f>43.2+10.8+26.2</f>
        <v>80.2</v>
      </c>
      <c r="F60" s="650">
        <v>0</v>
      </c>
      <c r="G60" s="650">
        <v>0</v>
      </c>
      <c r="H60" s="650">
        <v>0</v>
      </c>
      <c r="I60" s="176">
        <f>SUM(F60:H60)*E60</f>
        <v>0</v>
      </c>
      <c r="J60" s="293" t="s">
        <v>117</v>
      </c>
    </row>
    <row r="61" spans="1:13" s="42" customFormat="1" ht="32.450000000000003" customHeight="1" outlineLevel="1" x14ac:dyDescent="0.2">
      <c r="A61" s="557" t="s">
        <v>482</v>
      </c>
      <c r="B61" s="402" t="s">
        <v>361</v>
      </c>
      <c r="C61" s="165" t="s">
        <v>884</v>
      </c>
      <c r="D61" s="163" t="s">
        <v>6</v>
      </c>
      <c r="E61" s="538">
        <f>38+11.5+20</f>
        <v>69.5</v>
      </c>
      <c r="F61" s="650">
        <v>0</v>
      </c>
      <c r="G61" s="650">
        <v>0</v>
      </c>
      <c r="H61" s="650">
        <v>0</v>
      </c>
      <c r="I61" s="302">
        <f t="shared" ref="I61" si="12">SUM(F61:H61)*E61</f>
        <v>0</v>
      </c>
      <c r="J61" s="485" t="s">
        <v>117</v>
      </c>
    </row>
    <row r="62" spans="1:13" s="42" customFormat="1" ht="31.15" customHeight="1" outlineLevel="1" x14ac:dyDescent="0.2">
      <c r="A62" s="413" t="s">
        <v>483</v>
      </c>
      <c r="B62" s="137" t="s">
        <v>627</v>
      </c>
      <c r="C62" s="525" t="s">
        <v>883</v>
      </c>
      <c r="D62" s="56" t="s">
        <v>6</v>
      </c>
      <c r="E62" s="539">
        <v>19</v>
      </c>
      <c r="F62" s="650">
        <v>0</v>
      </c>
      <c r="G62" s="650">
        <v>0</v>
      </c>
      <c r="H62" s="650">
        <v>0</v>
      </c>
      <c r="I62" s="177">
        <f t="shared" ref="I62:I65" si="13">SUM(F62:H62)*E62</f>
        <v>0</v>
      </c>
      <c r="J62" s="341" t="s">
        <v>117</v>
      </c>
    </row>
    <row r="63" spans="1:13" s="42" customFormat="1" ht="60.6" customHeight="1" outlineLevel="1" x14ac:dyDescent="0.2">
      <c r="A63" s="572" t="s">
        <v>484</v>
      </c>
      <c r="B63" s="410" t="s">
        <v>888</v>
      </c>
      <c r="C63" s="208" t="s">
        <v>696</v>
      </c>
      <c r="D63" s="150" t="s">
        <v>16</v>
      </c>
      <c r="E63" s="149">
        <v>50</v>
      </c>
      <c r="F63" s="650">
        <v>0</v>
      </c>
      <c r="G63" s="650">
        <v>0</v>
      </c>
      <c r="H63" s="650">
        <v>0</v>
      </c>
      <c r="I63" s="308">
        <f t="shared" si="13"/>
        <v>0</v>
      </c>
      <c r="J63" s="339" t="s">
        <v>117</v>
      </c>
    </row>
    <row r="64" spans="1:13" s="42" customFormat="1" ht="70.349999999999994" customHeight="1" outlineLevel="1" x14ac:dyDescent="0.2">
      <c r="A64" s="572" t="s">
        <v>485</v>
      </c>
      <c r="B64" s="207" t="s">
        <v>628</v>
      </c>
      <c r="C64" s="208" t="s">
        <v>889</v>
      </c>
      <c r="D64" s="150" t="s">
        <v>16</v>
      </c>
      <c r="E64" s="149">
        <f>35</f>
        <v>35</v>
      </c>
      <c r="F64" s="650">
        <v>0</v>
      </c>
      <c r="G64" s="650">
        <v>0</v>
      </c>
      <c r="H64" s="650">
        <v>0</v>
      </c>
      <c r="I64" s="308">
        <f t="shared" si="13"/>
        <v>0</v>
      </c>
      <c r="J64" s="339" t="s">
        <v>117</v>
      </c>
    </row>
    <row r="65" spans="1:11" s="42" customFormat="1" ht="34.35" customHeight="1" outlineLevel="1" x14ac:dyDescent="0.2">
      <c r="A65" s="572" t="s">
        <v>486</v>
      </c>
      <c r="B65" s="410" t="s">
        <v>546</v>
      </c>
      <c r="C65" s="411" t="s">
        <v>171</v>
      </c>
      <c r="D65" s="150" t="s">
        <v>70</v>
      </c>
      <c r="E65" s="149">
        <v>1</v>
      </c>
      <c r="F65" s="650">
        <v>0</v>
      </c>
      <c r="G65" s="650">
        <v>0</v>
      </c>
      <c r="H65" s="650">
        <v>0</v>
      </c>
      <c r="I65" s="308">
        <f t="shared" si="13"/>
        <v>0</v>
      </c>
      <c r="J65" s="339" t="s">
        <v>117</v>
      </c>
    </row>
    <row r="66" spans="1:11" s="42" customFormat="1" ht="33" customHeight="1" x14ac:dyDescent="0.2">
      <c r="A66" s="233" t="s">
        <v>75</v>
      </c>
      <c r="B66" s="697" t="s">
        <v>547</v>
      </c>
      <c r="C66" s="697"/>
      <c r="D66" s="227"/>
      <c r="E66" s="241"/>
      <c r="F66" s="138"/>
      <c r="G66" s="138"/>
      <c r="H66" s="138"/>
      <c r="I66" s="162">
        <f>SUM(I67:I93)</f>
        <v>0</v>
      </c>
      <c r="J66" s="339"/>
    </row>
    <row r="67" spans="1:11" s="42" customFormat="1" ht="42.6" customHeight="1" outlineLevel="1" x14ac:dyDescent="0.2">
      <c r="A67" s="224" t="s">
        <v>487</v>
      </c>
      <c r="B67" s="210" t="s">
        <v>544</v>
      </c>
      <c r="C67" s="60" t="s">
        <v>701</v>
      </c>
      <c r="D67" s="57" t="s">
        <v>18</v>
      </c>
      <c r="E67" s="146">
        <v>6</v>
      </c>
      <c r="F67" s="651">
        <v>0</v>
      </c>
      <c r="G67" s="652">
        <v>0</v>
      </c>
      <c r="H67" s="653">
        <v>0</v>
      </c>
      <c r="I67" s="177">
        <f t="shared" ref="I67:I71" si="14">SUM(F67:H67)*E67</f>
        <v>0</v>
      </c>
      <c r="J67" s="341" t="s">
        <v>117</v>
      </c>
      <c r="K67" s="730"/>
    </row>
    <row r="68" spans="1:11" s="42" customFormat="1" ht="31.15" customHeight="1" outlineLevel="1" x14ac:dyDescent="0.2">
      <c r="A68" s="572" t="s">
        <v>488</v>
      </c>
      <c r="B68" s="210" t="s">
        <v>172</v>
      </c>
      <c r="C68" s="60" t="s">
        <v>702</v>
      </c>
      <c r="D68" s="57" t="s">
        <v>22</v>
      </c>
      <c r="E68" s="146">
        <v>13</v>
      </c>
      <c r="F68" s="651">
        <v>0</v>
      </c>
      <c r="G68" s="652">
        <v>0</v>
      </c>
      <c r="H68" s="653">
        <v>0</v>
      </c>
      <c r="I68" s="310">
        <f t="shared" si="14"/>
        <v>0</v>
      </c>
      <c r="J68" s="341" t="s">
        <v>117</v>
      </c>
      <c r="K68" s="730"/>
    </row>
    <row r="69" spans="1:11" s="42" customFormat="1" ht="33" customHeight="1" outlineLevel="1" x14ac:dyDescent="0.2">
      <c r="A69" s="572" t="s">
        <v>489</v>
      </c>
      <c r="B69" s="60" t="s">
        <v>533</v>
      </c>
      <c r="C69" s="60" t="s">
        <v>173</v>
      </c>
      <c r="D69" s="57" t="s">
        <v>22</v>
      </c>
      <c r="E69" s="146">
        <v>110</v>
      </c>
      <c r="F69" s="651">
        <v>0</v>
      </c>
      <c r="G69" s="652">
        <v>0</v>
      </c>
      <c r="H69" s="653">
        <v>0</v>
      </c>
      <c r="I69" s="310">
        <f t="shared" si="14"/>
        <v>0</v>
      </c>
      <c r="J69" s="341" t="s">
        <v>117</v>
      </c>
      <c r="K69" s="730"/>
    </row>
    <row r="70" spans="1:11" s="42" customFormat="1" ht="43.9" customHeight="1" outlineLevel="1" x14ac:dyDescent="0.2">
      <c r="A70" s="572" t="s">
        <v>490</v>
      </c>
      <c r="B70" s="154" t="s">
        <v>723</v>
      </c>
      <c r="C70" s="60" t="s">
        <v>724</v>
      </c>
      <c r="D70" s="57" t="s">
        <v>22</v>
      </c>
      <c r="E70" s="146">
        <f>110+65</f>
        <v>175</v>
      </c>
      <c r="F70" s="651">
        <v>0</v>
      </c>
      <c r="G70" s="652">
        <v>0</v>
      </c>
      <c r="H70" s="653">
        <v>0</v>
      </c>
      <c r="I70" s="310">
        <f t="shared" si="14"/>
        <v>0</v>
      </c>
      <c r="J70" s="341" t="s">
        <v>117</v>
      </c>
      <c r="K70" s="730"/>
    </row>
    <row r="71" spans="1:11" s="42" customFormat="1" ht="35.450000000000003" customHeight="1" outlineLevel="1" x14ac:dyDescent="0.2">
      <c r="A71" s="572" t="s">
        <v>491</v>
      </c>
      <c r="B71" s="154" t="s">
        <v>718</v>
      </c>
      <c r="C71" s="60" t="s">
        <v>720</v>
      </c>
      <c r="D71" s="57" t="s">
        <v>0</v>
      </c>
      <c r="E71" s="146">
        <v>36</v>
      </c>
      <c r="F71" s="651">
        <v>0</v>
      </c>
      <c r="G71" s="652">
        <v>0</v>
      </c>
      <c r="H71" s="653">
        <v>0</v>
      </c>
      <c r="I71" s="310">
        <f t="shared" si="14"/>
        <v>0</v>
      </c>
      <c r="J71" s="415" t="s">
        <v>117</v>
      </c>
      <c r="K71" s="730"/>
    </row>
    <row r="72" spans="1:11" s="42" customFormat="1" ht="36" customHeight="1" outlineLevel="1" x14ac:dyDescent="0.2">
      <c r="A72" s="572" t="s">
        <v>492</v>
      </c>
      <c r="B72" s="154" t="s">
        <v>722</v>
      </c>
      <c r="C72" s="60" t="s">
        <v>721</v>
      </c>
      <c r="D72" s="57" t="s">
        <v>719</v>
      </c>
      <c r="E72" s="146">
        <v>65</v>
      </c>
      <c r="F72" s="651">
        <v>0</v>
      </c>
      <c r="G72" s="652">
        <v>0</v>
      </c>
      <c r="H72" s="653">
        <v>0</v>
      </c>
      <c r="I72" s="310">
        <f>SUM(F72:H72)*E72</f>
        <v>0</v>
      </c>
      <c r="J72" s="415" t="s">
        <v>117</v>
      </c>
      <c r="K72" s="730"/>
    </row>
    <row r="73" spans="1:11" s="42" customFormat="1" ht="41.45" customHeight="1" outlineLevel="1" x14ac:dyDescent="0.2">
      <c r="A73" s="571" t="s">
        <v>493</v>
      </c>
      <c r="B73" s="60" t="s">
        <v>174</v>
      </c>
      <c r="C73" s="60" t="s">
        <v>1069</v>
      </c>
      <c r="D73" s="57" t="s">
        <v>18</v>
      </c>
      <c r="E73" s="146">
        <v>15</v>
      </c>
      <c r="F73" s="651">
        <v>0</v>
      </c>
      <c r="G73" s="652">
        <v>0</v>
      </c>
      <c r="H73" s="653">
        <v>0</v>
      </c>
      <c r="I73" s="177">
        <f t="shared" ref="I73:I75" si="15">SUM(F73:H73)*E73</f>
        <v>0</v>
      </c>
      <c r="J73" s="341" t="s">
        <v>117</v>
      </c>
      <c r="K73" s="730"/>
    </row>
    <row r="74" spans="1:11" s="42" customFormat="1" ht="36" customHeight="1" outlineLevel="1" x14ac:dyDescent="0.2">
      <c r="A74" s="571" t="s">
        <v>494</v>
      </c>
      <c r="B74" s="60" t="s">
        <v>534</v>
      </c>
      <c r="C74" s="60" t="s">
        <v>535</v>
      </c>
      <c r="D74" s="57" t="s">
        <v>0</v>
      </c>
      <c r="E74" s="146">
        <v>45</v>
      </c>
      <c r="F74" s="651">
        <v>0</v>
      </c>
      <c r="G74" s="652">
        <v>0</v>
      </c>
      <c r="H74" s="653">
        <v>0</v>
      </c>
      <c r="I74" s="177">
        <f t="shared" si="15"/>
        <v>0</v>
      </c>
      <c r="J74" s="341" t="s">
        <v>117</v>
      </c>
      <c r="K74" s="730"/>
    </row>
    <row r="75" spans="1:11" s="42" customFormat="1" ht="34.15" customHeight="1" outlineLevel="1" x14ac:dyDescent="0.2">
      <c r="A75" s="571" t="s">
        <v>495</v>
      </c>
      <c r="B75" s="60" t="s">
        <v>175</v>
      </c>
      <c r="C75" s="769" t="s">
        <v>1070</v>
      </c>
      <c r="D75" s="57" t="s">
        <v>22</v>
      </c>
      <c r="E75" s="146">
        <v>15</v>
      </c>
      <c r="F75" s="651">
        <v>0</v>
      </c>
      <c r="G75" s="652">
        <v>0</v>
      </c>
      <c r="H75" s="653">
        <v>0</v>
      </c>
      <c r="I75" s="177">
        <f t="shared" si="15"/>
        <v>0</v>
      </c>
      <c r="J75" s="341" t="s">
        <v>117</v>
      </c>
      <c r="K75" s="730"/>
    </row>
    <row r="76" spans="1:11" s="42" customFormat="1" ht="36" customHeight="1" outlineLevel="1" x14ac:dyDescent="0.2">
      <c r="A76" s="571" t="s">
        <v>496</v>
      </c>
      <c r="B76" s="60" t="s">
        <v>189</v>
      </c>
      <c r="C76" s="60" t="s">
        <v>190</v>
      </c>
      <c r="D76" s="57" t="s">
        <v>22</v>
      </c>
      <c r="E76" s="146">
        <v>0</v>
      </c>
      <c r="F76" s="651">
        <v>0</v>
      </c>
      <c r="G76" s="652">
        <v>0</v>
      </c>
      <c r="H76" s="653">
        <v>0</v>
      </c>
      <c r="I76" s="177">
        <f t="shared" ref="I76" si="16">SUM(F76:H76)*E76</f>
        <v>0</v>
      </c>
      <c r="J76" s="341" t="s">
        <v>117</v>
      </c>
      <c r="K76" s="730"/>
    </row>
    <row r="77" spans="1:11" s="42" customFormat="1" ht="31.9" customHeight="1" outlineLevel="1" x14ac:dyDescent="0.2">
      <c r="A77" s="571" t="s">
        <v>497</v>
      </c>
      <c r="B77" s="60" t="s">
        <v>176</v>
      </c>
      <c r="C77" s="60" t="s">
        <v>703</v>
      </c>
      <c r="D77" s="58" t="s">
        <v>33</v>
      </c>
      <c r="E77" s="534">
        <v>6</v>
      </c>
      <c r="F77" s="651">
        <v>0</v>
      </c>
      <c r="G77" s="652">
        <v>0</v>
      </c>
      <c r="H77" s="653">
        <v>0</v>
      </c>
      <c r="I77" s="177">
        <f t="shared" ref="I77:I91" si="17">SUM(F77:H77)*E77</f>
        <v>0</v>
      </c>
      <c r="J77" s="341" t="s">
        <v>117</v>
      </c>
      <c r="K77" s="730"/>
    </row>
    <row r="78" spans="1:11" s="42" customFormat="1" ht="31.15" customHeight="1" outlineLevel="1" x14ac:dyDescent="0.2">
      <c r="A78" s="571" t="s">
        <v>498</v>
      </c>
      <c r="B78" s="60" t="s">
        <v>704</v>
      </c>
      <c r="C78" s="60" t="s">
        <v>177</v>
      </c>
      <c r="D78" s="57" t="s">
        <v>0</v>
      </c>
      <c r="E78" s="146">
        <v>20</v>
      </c>
      <c r="F78" s="651">
        <v>0</v>
      </c>
      <c r="G78" s="652">
        <v>0</v>
      </c>
      <c r="H78" s="653">
        <v>0</v>
      </c>
      <c r="I78" s="177">
        <f t="shared" si="17"/>
        <v>0</v>
      </c>
      <c r="J78" s="341" t="s">
        <v>117</v>
      </c>
      <c r="K78" s="730"/>
    </row>
    <row r="79" spans="1:11" s="42" customFormat="1" ht="31.15" customHeight="1" outlineLevel="1" x14ac:dyDescent="0.2">
      <c r="A79" s="571" t="s">
        <v>499</v>
      </c>
      <c r="B79" s="60" t="s">
        <v>705</v>
      </c>
      <c r="C79" s="60" t="s">
        <v>178</v>
      </c>
      <c r="D79" s="57" t="s">
        <v>0</v>
      </c>
      <c r="E79" s="146">
        <v>15</v>
      </c>
      <c r="F79" s="651">
        <v>0</v>
      </c>
      <c r="G79" s="652">
        <v>0</v>
      </c>
      <c r="H79" s="653">
        <v>0</v>
      </c>
      <c r="I79" s="177">
        <f t="shared" si="17"/>
        <v>0</v>
      </c>
      <c r="J79" s="341" t="s">
        <v>117</v>
      </c>
      <c r="K79" s="730"/>
    </row>
    <row r="80" spans="1:11" s="42" customFormat="1" ht="57" customHeight="1" outlineLevel="1" x14ac:dyDescent="0.2">
      <c r="A80" s="571" t="s">
        <v>500</v>
      </c>
      <c r="B80" s="60" t="s">
        <v>179</v>
      </c>
      <c r="C80" s="60" t="s">
        <v>706</v>
      </c>
      <c r="D80" s="57" t="s">
        <v>18</v>
      </c>
      <c r="E80" s="146">
        <v>10</v>
      </c>
      <c r="F80" s="651">
        <v>0</v>
      </c>
      <c r="G80" s="652">
        <v>0</v>
      </c>
      <c r="H80" s="653">
        <v>0</v>
      </c>
      <c r="I80" s="177">
        <f t="shared" si="17"/>
        <v>0</v>
      </c>
      <c r="J80" s="341" t="s">
        <v>117</v>
      </c>
      <c r="K80" s="730"/>
    </row>
    <row r="81" spans="1:15" s="42" customFormat="1" ht="61.9" customHeight="1" outlineLevel="1" x14ac:dyDescent="0.2">
      <c r="A81" s="571" t="s">
        <v>501</v>
      </c>
      <c r="B81" s="60" t="s">
        <v>182</v>
      </c>
      <c r="C81" s="60" t="s">
        <v>1071</v>
      </c>
      <c r="D81" s="57" t="s">
        <v>33</v>
      </c>
      <c r="E81" s="146">
        <v>6</v>
      </c>
      <c r="F81" s="651">
        <v>0</v>
      </c>
      <c r="G81" s="652">
        <v>0</v>
      </c>
      <c r="H81" s="653">
        <v>0</v>
      </c>
      <c r="I81" s="176">
        <f t="shared" si="17"/>
        <v>0</v>
      </c>
      <c r="J81" s="293" t="s">
        <v>117</v>
      </c>
      <c r="K81" s="730"/>
    </row>
    <row r="82" spans="1:15" s="42" customFormat="1" ht="43.9" customHeight="1" outlineLevel="1" x14ac:dyDescent="0.2">
      <c r="A82" s="572" t="s">
        <v>502</v>
      </c>
      <c r="B82" s="60" t="s">
        <v>180</v>
      </c>
      <c r="C82" s="60" t="s">
        <v>366</v>
      </c>
      <c r="D82" s="57" t="s">
        <v>33</v>
      </c>
      <c r="E82" s="146">
        <v>0</v>
      </c>
      <c r="F82" s="651">
        <v>0</v>
      </c>
      <c r="G82" s="652">
        <v>0</v>
      </c>
      <c r="H82" s="653">
        <v>0</v>
      </c>
      <c r="I82" s="177">
        <f t="shared" si="17"/>
        <v>0</v>
      </c>
      <c r="J82" s="341" t="s">
        <v>117</v>
      </c>
      <c r="K82" s="730"/>
    </row>
    <row r="83" spans="1:15" s="42" customFormat="1" ht="43.9" customHeight="1" outlineLevel="1" x14ac:dyDescent="0.2">
      <c r="A83" s="572" t="s">
        <v>503</v>
      </c>
      <c r="B83" s="60" t="s">
        <v>536</v>
      </c>
      <c r="C83" s="60" t="s">
        <v>181</v>
      </c>
      <c r="D83" s="57" t="s">
        <v>18</v>
      </c>
      <c r="E83" s="146">
        <v>25</v>
      </c>
      <c r="F83" s="651">
        <v>0</v>
      </c>
      <c r="G83" s="652">
        <v>0</v>
      </c>
      <c r="H83" s="653">
        <v>0</v>
      </c>
      <c r="I83" s="177">
        <f t="shared" si="17"/>
        <v>0</v>
      </c>
      <c r="J83" s="341" t="s">
        <v>117</v>
      </c>
      <c r="K83" s="730"/>
    </row>
    <row r="84" spans="1:15" s="42" customFormat="1" ht="43.9" customHeight="1" outlineLevel="1" x14ac:dyDescent="0.2">
      <c r="A84" s="572" t="s">
        <v>504</v>
      </c>
      <c r="B84" s="60" t="s">
        <v>329</v>
      </c>
      <c r="C84" s="60" t="s">
        <v>707</v>
      </c>
      <c r="D84" s="57" t="s">
        <v>183</v>
      </c>
      <c r="E84" s="146">
        <v>65</v>
      </c>
      <c r="F84" s="651">
        <v>0</v>
      </c>
      <c r="G84" s="652">
        <v>0</v>
      </c>
      <c r="H84" s="653">
        <v>0</v>
      </c>
      <c r="I84" s="177">
        <f t="shared" si="17"/>
        <v>0</v>
      </c>
      <c r="J84" s="341" t="s">
        <v>117</v>
      </c>
      <c r="K84" s="730"/>
    </row>
    <row r="85" spans="1:15" s="42" customFormat="1" ht="55.9" customHeight="1" outlineLevel="1" x14ac:dyDescent="0.2">
      <c r="A85" s="572" t="s">
        <v>505</v>
      </c>
      <c r="B85" s="60" t="s">
        <v>367</v>
      </c>
      <c r="C85" s="60" t="s">
        <v>708</v>
      </c>
      <c r="D85" s="58" t="s">
        <v>170</v>
      </c>
      <c r="E85" s="177">
        <v>14</v>
      </c>
      <c r="F85" s="651">
        <v>0</v>
      </c>
      <c r="G85" s="652">
        <v>0</v>
      </c>
      <c r="H85" s="653">
        <v>0</v>
      </c>
      <c r="I85" s="177">
        <f t="shared" si="17"/>
        <v>0</v>
      </c>
      <c r="J85" s="341" t="s">
        <v>117</v>
      </c>
      <c r="K85" s="730"/>
    </row>
    <row r="86" spans="1:15" s="42" customFormat="1" ht="43.9" customHeight="1" outlineLevel="1" x14ac:dyDescent="0.2">
      <c r="A86" s="572" t="s">
        <v>506</v>
      </c>
      <c r="B86" s="154" t="s">
        <v>711</v>
      </c>
      <c r="C86" s="60" t="s">
        <v>712</v>
      </c>
      <c r="D86" s="147" t="s">
        <v>170</v>
      </c>
      <c r="E86" s="540">
        <f>16.1</f>
        <v>16.100000000000001</v>
      </c>
      <c r="F86" s="651">
        <v>0</v>
      </c>
      <c r="G86" s="652">
        <v>0</v>
      </c>
      <c r="H86" s="653">
        <v>0</v>
      </c>
      <c r="I86" s="177">
        <f t="shared" si="17"/>
        <v>0</v>
      </c>
      <c r="J86" s="341" t="s">
        <v>117</v>
      </c>
      <c r="K86" s="730"/>
    </row>
    <row r="87" spans="1:15" s="42" customFormat="1" ht="33.6" customHeight="1" outlineLevel="1" x14ac:dyDescent="0.2">
      <c r="A87" s="572" t="s">
        <v>507</v>
      </c>
      <c r="B87" s="60" t="s">
        <v>714</v>
      </c>
      <c r="C87" s="60" t="s">
        <v>713</v>
      </c>
      <c r="D87" s="58" t="s">
        <v>6</v>
      </c>
      <c r="E87" s="534">
        <v>1.3</v>
      </c>
      <c r="F87" s="651">
        <v>0</v>
      </c>
      <c r="G87" s="652">
        <v>0</v>
      </c>
      <c r="H87" s="653">
        <v>0</v>
      </c>
      <c r="I87" s="177">
        <f t="shared" si="17"/>
        <v>0</v>
      </c>
      <c r="J87" s="341" t="s">
        <v>117</v>
      </c>
      <c r="K87" s="730"/>
    </row>
    <row r="88" spans="1:15" s="42" customFormat="1" ht="43.9" customHeight="1" outlineLevel="1" x14ac:dyDescent="0.2">
      <c r="A88" s="572" t="s">
        <v>508</v>
      </c>
      <c r="B88" s="60" t="s">
        <v>710</v>
      </c>
      <c r="C88" s="60" t="s">
        <v>709</v>
      </c>
      <c r="D88" s="57" t="s">
        <v>170</v>
      </c>
      <c r="E88" s="540">
        <f>43+5.1</f>
        <v>48.1</v>
      </c>
      <c r="F88" s="651">
        <v>0</v>
      </c>
      <c r="G88" s="652">
        <v>0</v>
      </c>
      <c r="H88" s="653">
        <v>0</v>
      </c>
      <c r="I88" s="177">
        <f t="shared" si="17"/>
        <v>0</v>
      </c>
      <c r="J88" s="341" t="s">
        <v>117</v>
      </c>
      <c r="K88" s="730"/>
    </row>
    <row r="89" spans="1:15" s="42" customFormat="1" ht="46.9" customHeight="1" outlineLevel="1" x14ac:dyDescent="0.2">
      <c r="A89" s="572" t="s">
        <v>509</v>
      </c>
      <c r="B89" s="211" t="s">
        <v>185</v>
      </c>
      <c r="C89" s="209" t="s">
        <v>537</v>
      </c>
      <c r="D89" s="56" t="s">
        <v>33</v>
      </c>
      <c r="E89" s="541">
        <v>12</v>
      </c>
      <c r="F89" s="651">
        <v>0</v>
      </c>
      <c r="G89" s="652">
        <v>0</v>
      </c>
      <c r="H89" s="653">
        <v>0</v>
      </c>
      <c r="I89" s="177">
        <f t="shared" si="17"/>
        <v>0</v>
      </c>
      <c r="J89" s="341" t="s">
        <v>117</v>
      </c>
      <c r="K89" s="730"/>
    </row>
    <row r="90" spans="1:15" s="42" customFormat="1" ht="55.15" customHeight="1" outlineLevel="1" x14ac:dyDescent="0.2">
      <c r="A90" s="572" t="s">
        <v>510</v>
      </c>
      <c r="B90" s="60" t="s">
        <v>186</v>
      </c>
      <c r="C90" s="60" t="s">
        <v>631</v>
      </c>
      <c r="D90" s="57" t="s">
        <v>22</v>
      </c>
      <c r="E90" s="146">
        <v>0</v>
      </c>
      <c r="F90" s="651">
        <v>0</v>
      </c>
      <c r="G90" s="652">
        <v>0</v>
      </c>
      <c r="H90" s="653">
        <v>0</v>
      </c>
      <c r="I90" s="177">
        <f t="shared" si="17"/>
        <v>0</v>
      </c>
      <c r="J90" s="341" t="s">
        <v>117</v>
      </c>
      <c r="K90" s="730"/>
    </row>
    <row r="91" spans="1:15" s="42" customFormat="1" ht="57" customHeight="1" outlineLevel="1" x14ac:dyDescent="0.2">
      <c r="A91" s="572" t="s">
        <v>511</v>
      </c>
      <c r="B91" s="60" t="s">
        <v>184</v>
      </c>
      <c r="C91" s="60" t="s">
        <v>715</v>
      </c>
      <c r="D91" s="58" t="s">
        <v>170</v>
      </c>
      <c r="E91" s="540">
        <f>12.2</f>
        <v>12.2</v>
      </c>
      <c r="F91" s="651">
        <v>0</v>
      </c>
      <c r="G91" s="652">
        <v>0</v>
      </c>
      <c r="H91" s="653">
        <v>0</v>
      </c>
      <c r="I91" s="177">
        <f t="shared" si="17"/>
        <v>0</v>
      </c>
      <c r="J91" s="341" t="s">
        <v>117</v>
      </c>
      <c r="K91" s="730"/>
    </row>
    <row r="92" spans="1:15" s="42" customFormat="1" ht="66" customHeight="1" outlineLevel="1" x14ac:dyDescent="0.2">
      <c r="A92" s="572" t="s">
        <v>512</v>
      </c>
      <c r="B92" s="168" t="s">
        <v>187</v>
      </c>
      <c r="C92" s="201" t="s">
        <v>552</v>
      </c>
      <c r="D92" s="58" t="s">
        <v>170</v>
      </c>
      <c r="E92" s="540">
        <f>20</f>
        <v>20</v>
      </c>
      <c r="F92" s="651">
        <v>0</v>
      </c>
      <c r="G92" s="652">
        <v>0</v>
      </c>
      <c r="H92" s="653">
        <v>0</v>
      </c>
      <c r="I92" s="302">
        <f>SUM(F92:H92)*E92</f>
        <v>0</v>
      </c>
      <c r="J92" s="293" t="s">
        <v>117</v>
      </c>
      <c r="K92" s="730"/>
    </row>
    <row r="93" spans="1:15" s="42" customFormat="1" ht="43.9" customHeight="1" outlineLevel="1" x14ac:dyDescent="0.2">
      <c r="A93" s="572" t="s">
        <v>513</v>
      </c>
      <c r="B93" s="60" t="s">
        <v>188</v>
      </c>
      <c r="C93" s="60" t="s">
        <v>725</v>
      </c>
      <c r="D93" s="58" t="s">
        <v>6</v>
      </c>
      <c r="E93" s="540">
        <v>60</v>
      </c>
      <c r="F93" s="651">
        <v>0</v>
      </c>
      <c r="G93" s="652">
        <v>0</v>
      </c>
      <c r="H93" s="653">
        <v>0</v>
      </c>
      <c r="I93" s="310">
        <f t="shared" ref="I93" si="18">SUM(F93:H93)*E93</f>
        <v>0</v>
      </c>
      <c r="J93" s="341" t="s">
        <v>117</v>
      </c>
      <c r="K93" s="730"/>
    </row>
    <row r="94" spans="1:15" s="42" customFormat="1" ht="33" customHeight="1" x14ac:dyDescent="0.2">
      <c r="A94" s="229" t="s">
        <v>25</v>
      </c>
      <c r="B94" s="702" t="s">
        <v>526</v>
      </c>
      <c r="C94" s="702"/>
      <c r="D94" s="252"/>
      <c r="E94" s="252"/>
      <c r="F94" s="239"/>
      <c r="G94" s="239"/>
      <c r="H94" s="239"/>
      <c r="I94" s="253"/>
      <c r="J94" s="345"/>
      <c r="K94" s="730"/>
    </row>
    <row r="95" spans="1:15" s="42" customFormat="1" ht="33" customHeight="1" x14ac:dyDescent="0.2">
      <c r="A95" s="425" t="s">
        <v>34</v>
      </c>
      <c r="B95" s="705" t="s">
        <v>745</v>
      </c>
      <c r="C95" s="705"/>
      <c r="D95" s="433"/>
      <c r="E95" s="433"/>
      <c r="F95" s="434"/>
      <c r="G95" s="434"/>
      <c r="H95" s="434"/>
      <c r="I95" s="446">
        <f>SUM(I96:I104)</f>
        <v>0</v>
      </c>
      <c r="J95" s="435"/>
      <c r="K95" s="766"/>
      <c r="L95" s="134"/>
      <c r="M95" s="134"/>
      <c r="N95" s="134"/>
      <c r="O95" s="134"/>
    </row>
    <row r="96" spans="1:15" s="135" customFormat="1" ht="52.15" customHeight="1" outlineLevel="1" x14ac:dyDescent="0.2">
      <c r="A96" s="557" t="s">
        <v>368</v>
      </c>
      <c r="B96" s="441" t="s">
        <v>750</v>
      </c>
      <c r="C96" s="442" t="s">
        <v>814</v>
      </c>
      <c r="D96" s="443" t="s">
        <v>6</v>
      </c>
      <c r="E96" s="542">
        <v>135</v>
      </c>
      <c r="F96" s="654">
        <v>0</v>
      </c>
      <c r="G96" s="654">
        <v>0</v>
      </c>
      <c r="H96" s="654">
        <v>0</v>
      </c>
      <c r="I96" s="444">
        <f t="shared" ref="I96:I104" si="19">SUM(F96:H96)*E96</f>
        <v>0</v>
      </c>
      <c r="J96" s="445" t="s">
        <v>117</v>
      </c>
      <c r="K96" s="767"/>
    </row>
    <row r="97" spans="1:15" s="42" customFormat="1" ht="53.85" customHeight="1" outlineLevel="1" x14ac:dyDescent="0.2">
      <c r="A97" s="572" t="s">
        <v>514</v>
      </c>
      <c r="B97" s="428" t="s">
        <v>542</v>
      </c>
      <c r="C97" s="429" t="s">
        <v>751</v>
      </c>
      <c r="D97" s="430" t="s">
        <v>6</v>
      </c>
      <c r="E97" s="543">
        <v>10</v>
      </c>
      <c r="F97" s="654">
        <v>0</v>
      </c>
      <c r="G97" s="654">
        <v>0</v>
      </c>
      <c r="H97" s="654">
        <v>0</v>
      </c>
      <c r="I97" s="431">
        <f t="shared" si="19"/>
        <v>0</v>
      </c>
      <c r="J97" s="427" t="s">
        <v>117</v>
      </c>
      <c r="K97" s="766"/>
      <c r="L97" s="134"/>
      <c r="M97" s="134"/>
      <c r="N97" s="134"/>
      <c r="O97" s="134"/>
    </row>
    <row r="98" spans="1:15" s="135" customFormat="1" ht="48" customHeight="1" outlineLevel="1" x14ac:dyDescent="0.2">
      <c r="A98" s="572" t="s">
        <v>369</v>
      </c>
      <c r="B98" s="500" t="s">
        <v>158</v>
      </c>
      <c r="C98" s="500" t="s">
        <v>809</v>
      </c>
      <c r="D98" s="501" t="s">
        <v>6</v>
      </c>
      <c r="E98" s="502">
        <v>135</v>
      </c>
      <c r="F98" s="654">
        <v>0</v>
      </c>
      <c r="G98" s="654">
        <v>0</v>
      </c>
      <c r="H98" s="654">
        <v>0</v>
      </c>
      <c r="I98" s="503">
        <f t="shared" si="19"/>
        <v>0</v>
      </c>
      <c r="J98" s="504" t="s">
        <v>117</v>
      </c>
      <c r="K98" s="767"/>
    </row>
    <row r="99" spans="1:15" s="42" customFormat="1" ht="46.9" customHeight="1" outlineLevel="1" x14ac:dyDescent="0.2">
      <c r="A99" s="572" t="s">
        <v>515</v>
      </c>
      <c r="B99" s="469" t="s">
        <v>811</v>
      </c>
      <c r="C99" s="469" t="s">
        <v>804</v>
      </c>
      <c r="D99" s="470" t="s">
        <v>170</v>
      </c>
      <c r="E99" s="468">
        <v>12</v>
      </c>
      <c r="F99" s="654">
        <v>0</v>
      </c>
      <c r="G99" s="654">
        <v>0</v>
      </c>
      <c r="H99" s="654">
        <v>0</v>
      </c>
      <c r="I99" s="431">
        <f t="shared" si="19"/>
        <v>0</v>
      </c>
      <c r="J99" s="471" t="s">
        <v>117</v>
      </c>
      <c r="K99" s="766"/>
      <c r="L99" s="134"/>
      <c r="M99" s="134"/>
      <c r="N99" s="134"/>
      <c r="O99" s="134"/>
    </row>
    <row r="100" spans="1:15" s="42" customFormat="1" ht="53.85" customHeight="1" outlineLevel="1" x14ac:dyDescent="0.2">
      <c r="A100" s="572" t="s">
        <v>370</v>
      </c>
      <c r="B100" s="490" t="s">
        <v>749</v>
      </c>
      <c r="C100" s="491" t="s">
        <v>803</v>
      </c>
      <c r="D100" s="437" t="s">
        <v>18</v>
      </c>
      <c r="E100" s="544">
        <v>4</v>
      </c>
      <c r="F100" s="654">
        <v>0</v>
      </c>
      <c r="G100" s="654">
        <v>0</v>
      </c>
      <c r="H100" s="654">
        <v>0</v>
      </c>
      <c r="I100" s="450">
        <f t="shared" si="19"/>
        <v>0</v>
      </c>
      <c r="J100" s="492" t="s">
        <v>117</v>
      </c>
      <c r="K100" s="766"/>
      <c r="L100" s="134"/>
      <c r="M100" s="134"/>
      <c r="N100" s="134"/>
      <c r="O100" s="134"/>
    </row>
    <row r="101" spans="1:15" s="42" customFormat="1" ht="41.65" customHeight="1" outlineLevel="1" x14ac:dyDescent="0.2">
      <c r="A101" s="572" t="s">
        <v>516</v>
      </c>
      <c r="B101" s="436" t="s">
        <v>812</v>
      </c>
      <c r="C101" s="491" t="s">
        <v>791</v>
      </c>
      <c r="D101" s="437" t="s">
        <v>33</v>
      </c>
      <c r="E101" s="545">
        <v>5</v>
      </c>
      <c r="F101" s="654">
        <v>0</v>
      </c>
      <c r="G101" s="654">
        <v>0</v>
      </c>
      <c r="H101" s="654">
        <v>0</v>
      </c>
      <c r="I101" s="450">
        <f t="shared" si="19"/>
        <v>0</v>
      </c>
      <c r="J101" s="492" t="s">
        <v>117</v>
      </c>
      <c r="K101" s="766"/>
      <c r="L101" s="134"/>
      <c r="M101" s="134"/>
      <c r="N101" s="134"/>
      <c r="O101" s="134"/>
    </row>
    <row r="102" spans="1:15" s="42" customFormat="1" ht="30" customHeight="1" outlineLevel="1" x14ac:dyDescent="0.2">
      <c r="A102" s="572" t="s">
        <v>517</v>
      </c>
      <c r="B102" s="490" t="s">
        <v>792</v>
      </c>
      <c r="C102" s="491" t="s">
        <v>813</v>
      </c>
      <c r="D102" s="437" t="s">
        <v>6</v>
      </c>
      <c r="E102" s="545">
        <v>40</v>
      </c>
      <c r="F102" s="654">
        <v>0</v>
      </c>
      <c r="G102" s="654">
        <v>0</v>
      </c>
      <c r="H102" s="654">
        <v>0</v>
      </c>
      <c r="I102" s="450">
        <f t="shared" si="19"/>
        <v>0</v>
      </c>
      <c r="J102" s="492" t="s">
        <v>117</v>
      </c>
      <c r="K102" s="766"/>
      <c r="L102" s="134"/>
      <c r="M102" s="134"/>
      <c r="N102" s="134"/>
      <c r="O102" s="134"/>
    </row>
    <row r="103" spans="1:15" s="42" customFormat="1" ht="68.25" customHeight="1" outlineLevel="1" x14ac:dyDescent="0.2">
      <c r="A103" s="572" t="s">
        <v>794</v>
      </c>
      <c r="B103" s="439" t="s">
        <v>807</v>
      </c>
      <c r="C103" s="440" t="s">
        <v>808</v>
      </c>
      <c r="D103" s="437" t="s">
        <v>358</v>
      </c>
      <c r="E103" s="545">
        <f>166*2</f>
        <v>332</v>
      </c>
      <c r="F103" s="654">
        <v>0</v>
      </c>
      <c r="G103" s="654">
        <v>0</v>
      </c>
      <c r="H103" s="654">
        <v>0</v>
      </c>
      <c r="I103" s="450">
        <f t="shared" si="19"/>
        <v>0</v>
      </c>
      <c r="J103" s="492" t="s">
        <v>117</v>
      </c>
      <c r="K103" s="766"/>
      <c r="L103" s="134"/>
      <c r="M103" s="134"/>
      <c r="N103" s="134"/>
      <c r="O103" s="134"/>
    </row>
    <row r="104" spans="1:15" s="42" customFormat="1" ht="43.15" customHeight="1" outlineLevel="1" x14ac:dyDescent="0.2">
      <c r="A104" s="572" t="s">
        <v>810</v>
      </c>
      <c r="B104" s="432" t="s">
        <v>753</v>
      </c>
      <c r="C104" s="428" t="s">
        <v>752</v>
      </c>
      <c r="D104" s="430" t="s">
        <v>33</v>
      </c>
      <c r="E104" s="545">
        <v>2</v>
      </c>
      <c r="F104" s="654">
        <v>0</v>
      </c>
      <c r="G104" s="654">
        <v>0</v>
      </c>
      <c r="H104" s="654">
        <v>0</v>
      </c>
      <c r="I104" s="426">
        <f t="shared" si="19"/>
        <v>0</v>
      </c>
      <c r="J104" s="427" t="s">
        <v>117</v>
      </c>
      <c r="K104" s="766"/>
      <c r="L104" s="134"/>
      <c r="M104" s="134"/>
      <c r="N104" s="134"/>
      <c r="O104" s="134"/>
    </row>
    <row r="105" spans="1:15" s="42" customFormat="1" ht="40.15" customHeight="1" x14ac:dyDescent="0.2">
      <c r="A105" s="229" t="s">
        <v>17</v>
      </c>
      <c r="B105" s="697" t="s">
        <v>525</v>
      </c>
      <c r="C105" s="697"/>
      <c r="D105" s="252"/>
      <c r="E105" s="252"/>
      <c r="F105" s="376"/>
      <c r="G105" s="376"/>
      <c r="H105" s="376"/>
      <c r="I105" s="162">
        <f>SUM(I106:I115)</f>
        <v>0</v>
      </c>
      <c r="J105" s="345"/>
      <c r="K105" s="730"/>
    </row>
    <row r="106" spans="1:15" customFormat="1" ht="43.15" customHeight="1" outlineLevel="1" x14ac:dyDescent="0.2">
      <c r="A106" s="574" t="s">
        <v>518</v>
      </c>
      <c r="B106" s="447" t="s">
        <v>754</v>
      </c>
      <c r="C106" s="448" t="s">
        <v>755</v>
      </c>
      <c r="D106" s="449" t="s">
        <v>373</v>
      </c>
      <c r="E106" s="497">
        <v>40</v>
      </c>
      <c r="F106" s="655">
        <v>0</v>
      </c>
      <c r="G106" s="655">
        <v>0</v>
      </c>
      <c r="H106" s="655">
        <v>0</v>
      </c>
      <c r="I106" s="151">
        <f t="shared" ref="I106:I113" si="20">SUM(F106:H106)*E106</f>
        <v>0</v>
      </c>
      <c r="J106" s="492" t="s">
        <v>117</v>
      </c>
      <c r="K106" s="768"/>
    </row>
    <row r="107" spans="1:15" s="134" customFormat="1" ht="43.15" customHeight="1" outlineLevel="1" x14ac:dyDescent="0.2">
      <c r="A107" s="574" t="s">
        <v>374</v>
      </c>
      <c r="B107" s="493" t="s">
        <v>788</v>
      </c>
      <c r="C107" s="494" t="s">
        <v>791</v>
      </c>
      <c r="D107" s="495" t="s">
        <v>33</v>
      </c>
      <c r="E107" s="497">
        <v>5</v>
      </c>
      <c r="F107" s="655">
        <v>0</v>
      </c>
      <c r="G107" s="655">
        <v>0</v>
      </c>
      <c r="H107" s="655">
        <v>0</v>
      </c>
      <c r="I107" s="151">
        <f>SUM(F107:H107)*E107</f>
        <v>0</v>
      </c>
      <c r="J107" s="496" t="s">
        <v>117</v>
      </c>
      <c r="K107" s="766"/>
    </row>
    <row r="108" spans="1:15" s="134" customFormat="1" ht="28.15" customHeight="1" outlineLevel="1" x14ac:dyDescent="0.2">
      <c r="A108" s="574" t="s">
        <v>375</v>
      </c>
      <c r="B108" s="493" t="s">
        <v>238</v>
      </c>
      <c r="C108" s="494" t="s">
        <v>799</v>
      </c>
      <c r="D108" s="495" t="s">
        <v>6</v>
      </c>
      <c r="E108" s="497">
        <v>40</v>
      </c>
      <c r="F108" s="655">
        <v>0</v>
      </c>
      <c r="G108" s="655">
        <v>0</v>
      </c>
      <c r="H108" s="655">
        <v>0</v>
      </c>
      <c r="I108" s="151">
        <f>SUM(F108:H108)*E108</f>
        <v>0</v>
      </c>
      <c r="J108" s="427" t="s">
        <v>117</v>
      </c>
      <c r="K108" s="766"/>
      <c r="O108" s="134" t="s">
        <v>730</v>
      </c>
    </row>
    <row r="109" spans="1:15" customFormat="1" ht="68.849999999999994" customHeight="1" outlineLevel="1" x14ac:dyDescent="0.2">
      <c r="A109" s="574" t="s">
        <v>876</v>
      </c>
      <c r="B109" s="451" t="s">
        <v>756</v>
      </c>
      <c r="C109" s="451" t="s">
        <v>759</v>
      </c>
      <c r="D109" s="452" t="s">
        <v>0</v>
      </c>
      <c r="E109" s="497">
        <v>68</v>
      </c>
      <c r="F109" s="655">
        <v>0</v>
      </c>
      <c r="G109" s="655">
        <v>0</v>
      </c>
      <c r="H109" s="655">
        <v>0</v>
      </c>
      <c r="I109" s="151">
        <f t="shared" si="20"/>
        <v>0</v>
      </c>
      <c r="J109" s="427" t="s">
        <v>117</v>
      </c>
      <c r="K109" s="768"/>
    </row>
    <row r="110" spans="1:15" customFormat="1" ht="45.2" customHeight="1" outlineLevel="1" x14ac:dyDescent="0.2">
      <c r="A110" s="574" t="s">
        <v>877</v>
      </c>
      <c r="B110" s="498" t="s">
        <v>862</v>
      </c>
      <c r="C110" s="523" t="s">
        <v>861</v>
      </c>
      <c r="D110" s="499" t="s">
        <v>6</v>
      </c>
      <c r="E110" s="497">
        <v>2.6</v>
      </c>
      <c r="F110" s="655">
        <v>0</v>
      </c>
      <c r="G110" s="655">
        <v>0</v>
      </c>
      <c r="H110" s="655">
        <v>0</v>
      </c>
      <c r="I110" s="151">
        <f t="shared" ref="I110" si="21">SUM(F110:H110)*E110</f>
        <v>0</v>
      </c>
      <c r="J110" s="427" t="s">
        <v>117</v>
      </c>
      <c r="K110" s="768"/>
    </row>
    <row r="111" spans="1:15" customFormat="1" ht="52.15" customHeight="1" outlineLevel="1" x14ac:dyDescent="0.2">
      <c r="A111" s="574" t="s">
        <v>878</v>
      </c>
      <c r="B111" s="453" t="s">
        <v>865</v>
      </c>
      <c r="C111" s="454" t="s">
        <v>866</v>
      </c>
      <c r="D111" s="455" t="s">
        <v>6</v>
      </c>
      <c r="E111" s="497">
        <v>5.86</v>
      </c>
      <c r="F111" s="655">
        <v>0</v>
      </c>
      <c r="G111" s="655">
        <v>0</v>
      </c>
      <c r="H111" s="655">
        <v>0</v>
      </c>
      <c r="I111" s="151">
        <f t="shared" si="20"/>
        <v>0</v>
      </c>
      <c r="J111" s="427" t="s">
        <v>117</v>
      </c>
      <c r="K111" s="768"/>
    </row>
    <row r="112" spans="1:15" customFormat="1" ht="40.15" customHeight="1" outlineLevel="1" x14ac:dyDescent="0.2">
      <c r="A112" s="574" t="s">
        <v>879</v>
      </c>
      <c r="B112" s="436" t="s">
        <v>758</v>
      </c>
      <c r="C112" s="436" t="s">
        <v>760</v>
      </c>
      <c r="D112" s="456" t="s">
        <v>33</v>
      </c>
      <c r="E112" s="497">
        <v>1</v>
      </c>
      <c r="F112" s="655">
        <v>0</v>
      </c>
      <c r="G112" s="655">
        <v>0</v>
      </c>
      <c r="H112" s="655">
        <v>0</v>
      </c>
      <c r="I112" s="151">
        <f t="shared" si="20"/>
        <v>0</v>
      </c>
      <c r="J112" s="427" t="s">
        <v>117</v>
      </c>
      <c r="K112" s="768"/>
    </row>
    <row r="113" spans="1:11" customFormat="1" ht="40.15" customHeight="1" outlineLevel="1" x14ac:dyDescent="0.2">
      <c r="A113" s="574" t="s">
        <v>880</v>
      </c>
      <c r="B113" s="457" t="s">
        <v>868</v>
      </c>
      <c r="C113" s="457" t="s">
        <v>869</v>
      </c>
      <c r="D113" s="458" t="s">
        <v>373</v>
      </c>
      <c r="E113" s="497">
        <v>135</v>
      </c>
      <c r="F113" s="655">
        <v>0</v>
      </c>
      <c r="G113" s="655">
        <v>0</v>
      </c>
      <c r="H113" s="655">
        <v>0</v>
      </c>
      <c r="I113" s="151">
        <f t="shared" si="20"/>
        <v>0</v>
      </c>
      <c r="J113" s="427" t="s">
        <v>117</v>
      </c>
      <c r="K113" s="768"/>
    </row>
    <row r="114" spans="1:11" s="42" customFormat="1" ht="71.45" customHeight="1" outlineLevel="1" x14ac:dyDescent="0.2">
      <c r="A114" s="574" t="s">
        <v>881</v>
      </c>
      <c r="B114" s="168" t="s">
        <v>543</v>
      </c>
      <c r="C114" s="201" t="s">
        <v>761</v>
      </c>
      <c r="D114" s="56" t="s">
        <v>16</v>
      </c>
      <c r="E114" s="497">
        <v>50</v>
      </c>
      <c r="F114" s="655">
        <v>0</v>
      </c>
      <c r="G114" s="655">
        <v>0</v>
      </c>
      <c r="H114" s="655">
        <v>0</v>
      </c>
      <c r="I114" s="151">
        <f>SUM(F114:H114)*E114</f>
        <v>0</v>
      </c>
      <c r="J114" s="137" t="s">
        <v>371</v>
      </c>
      <c r="K114" s="730"/>
    </row>
    <row r="115" spans="1:11" s="42" customFormat="1" ht="45.2" customHeight="1" outlineLevel="1" x14ac:dyDescent="0.2">
      <c r="A115" s="574" t="s">
        <v>882</v>
      </c>
      <c r="B115" s="168" t="s">
        <v>871</v>
      </c>
      <c r="C115" s="201" t="s">
        <v>872</v>
      </c>
      <c r="D115" s="56" t="s">
        <v>33</v>
      </c>
      <c r="E115" s="497">
        <v>2</v>
      </c>
      <c r="F115" s="655">
        <v>0</v>
      </c>
      <c r="G115" s="655">
        <v>0</v>
      </c>
      <c r="H115" s="655">
        <v>0</v>
      </c>
      <c r="I115" s="151">
        <f t="shared" ref="I115" si="22">SUM(F115:H115)*E115</f>
        <v>0</v>
      </c>
      <c r="J115" s="137" t="s">
        <v>117</v>
      </c>
    </row>
    <row r="116" spans="1:11" s="42" customFormat="1" ht="33" customHeight="1" x14ac:dyDescent="0.2">
      <c r="A116" s="229" t="s">
        <v>885</v>
      </c>
      <c r="B116" s="701" t="s">
        <v>524</v>
      </c>
      <c r="C116" s="701"/>
      <c r="D116" s="228"/>
      <c r="E116" s="313"/>
      <c r="F116" s="377"/>
      <c r="G116" s="377"/>
      <c r="H116" s="377"/>
      <c r="I116" s="162">
        <f>SUM(I117:I119)</f>
        <v>0</v>
      </c>
      <c r="J116" s="137"/>
    </row>
    <row r="117" spans="1:11" s="42" customFormat="1" ht="61.9" customHeight="1" outlineLevel="1" x14ac:dyDescent="0.2">
      <c r="A117" s="226" t="s">
        <v>886</v>
      </c>
      <c r="B117" s="168" t="s">
        <v>372</v>
      </c>
      <c r="C117" s="201" t="s">
        <v>873</v>
      </c>
      <c r="D117" s="56" t="s">
        <v>18</v>
      </c>
      <c r="E117" s="556">
        <v>2</v>
      </c>
      <c r="F117" s="656">
        <v>0</v>
      </c>
      <c r="G117" s="656">
        <v>0</v>
      </c>
      <c r="H117" s="656">
        <v>0</v>
      </c>
      <c r="I117" s="151">
        <f t="shared" ref="I117:I119" si="23">SUM(F117:H117)*E117</f>
        <v>0</v>
      </c>
      <c r="J117" s="137" t="s">
        <v>117</v>
      </c>
    </row>
    <row r="118" spans="1:11" customFormat="1" ht="69" customHeight="1" outlineLevel="1" x14ac:dyDescent="0.2">
      <c r="A118" s="226" t="s">
        <v>887</v>
      </c>
      <c r="B118" s="168" t="s">
        <v>239</v>
      </c>
      <c r="C118" s="201" t="s">
        <v>194</v>
      </c>
      <c r="D118" s="56" t="s">
        <v>33</v>
      </c>
      <c r="E118" s="556">
        <v>1</v>
      </c>
      <c r="F118" s="656">
        <v>0</v>
      </c>
      <c r="G118" s="656">
        <v>0</v>
      </c>
      <c r="H118" s="656">
        <v>0</v>
      </c>
      <c r="I118" s="312">
        <f t="shared" si="23"/>
        <v>0</v>
      </c>
      <c r="J118" s="137" t="s">
        <v>117</v>
      </c>
    </row>
    <row r="119" spans="1:11" customFormat="1" ht="58.15" customHeight="1" outlineLevel="1" x14ac:dyDescent="0.2">
      <c r="A119" s="226" t="s">
        <v>757</v>
      </c>
      <c r="B119" s="168" t="s">
        <v>874</v>
      </c>
      <c r="C119" s="201" t="s">
        <v>376</v>
      </c>
      <c r="D119" s="56" t="s">
        <v>168</v>
      </c>
      <c r="E119" s="556">
        <v>8</v>
      </c>
      <c r="F119" s="656">
        <v>0</v>
      </c>
      <c r="G119" s="656">
        <v>0</v>
      </c>
      <c r="H119" s="656">
        <v>0</v>
      </c>
      <c r="I119" s="312">
        <f t="shared" si="23"/>
        <v>0</v>
      </c>
      <c r="J119" s="137" t="s">
        <v>117</v>
      </c>
    </row>
    <row r="120" spans="1:11" s="42" customFormat="1" ht="27.6" customHeight="1" x14ac:dyDescent="0.2">
      <c r="A120" s="235" t="s">
        <v>26</v>
      </c>
      <c r="B120" s="704" t="s">
        <v>385</v>
      </c>
      <c r="C120" s="704"/>
      <c r="D120" s="236"/>
      <c r="E120" s="314"/>
      <c r="F120" s="155"/>
      <c r="G120" s="155"/>
      <c r="H120" s="155"/>
      <c r="I120" s="160"/>
      <c r="J120" s="345"/>
    </row>
    <row r="121" spans="1:11" s="44" customFormat="1" ht="30.75" customHeight="1" x14ac:dyDescent="0.2">
      <c r="A121" s="233" t="s">
        <v>23</v>
      </c>
      <c r="B121" s="697" t="s">
        <v>377</v>
      </c>
      <c r="C121" s="697"/>
      <c r="D121" s="230"/>
      <c r="E121" s="164"/>
      <c r="F121" s="160"/>
      <c r="G121" s="160"/>
      <c r="H121" s="160"/>
      <c r="I121" s="162">
        <f>SUM(I122:I142)</f>
        <v>0</v>
      </c>
      <c r="J121" s="339"/>
    </row>
    <row r="122" spans="1:11" s="44" customFormat="1" ht="54" customHeight="1" outlineLevel="1" x14ac:dyDescent="0.2">
      <c r="A122" s="226" t="s">
        <v>391</v>
      </c>
      <c r="B122" s="183" t="s">
        <v>893</v>
      </c>
      <c r="C122" s="165" t="s">
        <v>816</v>
      </c>
      <c r="D122" s="136" t="s">
        <v>373</v>
      </c>
      <c r="E122" s="505">
        <f>256</f>
        <v>256</v>
      </c>
      <c r="F122" s="654">
        <v>0</v>
      </c>
      <c r="G122" s="654">
        <v>0</v>
      </c>
      <c r="H122" s="654">
        <v>0</v>
      </c>
      <c r="I122" s="312">
        <f>SUM(F122:H122)*E122</f>
        <v>0</v>
      </c>
      <c r="J122" s="348" t="s">
        <v>117</v>
      </c>
      <c r="K122" s="388"/>
    </row>
    <row r="123" spans="1:11" s="44" customFormat="1" ht="46.35" customHeight="1" outlineLevel="1" x14ac:dyDescent="0.2">
      <c r="A123" s="226" t="s">
        <v>392</v>
      </c>
      <c r="B123" s="183" t="s">
        <v>203</v>
      </c>
      <c r="C123" s="165" t="s">
        <v>197</v>
      </c>
      <c r="D123" s="136" t="s">
        <v>553</v>
      </c>
      <c r="E123" s="505">
        <v>171</v>
      </c>
      <c r="F123" s="654">
        <v>0</v>
      </c>
      <c r="G123" s="654">
        <v>0</v>
      </c>
      <c r="H123" s="654">
        <v>0</v>
      </c>
      <c r="I123" s="151">
        <f t="shared" ref="I123" si="24">SUM(F123:H123)*E123</f>
        <v>0</v>
      </c>
      <c r="J123" s="348" t="s">
        <v>117</v>
      </c>
    </row>
    <row r="124" spans="1:11" s="44" customFormat="1" ht="32.450000000000003" customHeight="1" outlineLevel="1" x14ac:dyDescent="0.2">
      <c r="A124" s="226" t="s">
        <v>393</v>
      </c>
      <c r="B124" s="183" t="s">
        <v>196</v>
      </c>
      <c r="C124" s="165" t="s">
        <v>904</v>
      </c>
      <c r="D124" s="136" t="s">
        <v>6</v>
      </c>
      <c r="E124" s="505">
        <v>51.3</v>
      </c>
      <c r="F124" s="654">
        <v>0</v>
      </c>
      <c r="G124" s="654">
        <v>0</v>
      </c>
      <c r="H124" s="654">
        <v>0</v>
      </c>
      <c r="I124" s="312">
        <f t="shared" ref="I124:I131" si="25">SUM(F124:H124)*E124</f>
        <v>0</v>
      </c>
      <c r="J124" s="348" t="s">
        <v>117</v>
      </c>
    </row>
    <row r="125" spans="1:11" s="44" customFormat="1" ht="34.9" customHeight="1" outlineLevel="1" x14ac:dyDescent="0.2">
      <c r="A125" s="226" t="s">
        <v>394</v>
      </c>
      <c r="B125" s="183" t="s">
        <v>195</v>
      </c>
      <c r="C125" s="165" t="s">
        <v>923</v>
      </c>
      <c r="D125" s="136" t="s">
        <v>373</v>
      </c>
      <c r="E125" s="505">
        <v>12.4</v>
      </c>
      <c r="F125" s="654">
        <v>0</v>
      </c>
      <c r="G125" s="654">
        <v>0</v>
      </c>
      <c r="H125" s="654">
        <v>0</v>
      </c>
      <c r="I125" s="312">
        <f t="shared" si="25"/>
        <v>0</v>
      </c>
      <c r="J125" s="348" t="s">
        <v>117</v>
      </c>
    </row>
    <row r="126" spans="1:11" s="44" customFormat="1" ht="293.25" outlineLevel="1" x14ac:dyDescent="0.2">
      <c r="A126" s="226" t="s">
        <v>395</v>
      </c>
      <c r="B126" s="183" t="s">
        <v>638</v>
      </c>
      <c r="C126" s="165" t="s">
        <v>639</v>
      </c>
      <c r="D126" s="136" t="s">
        <v>373</v>
      </c>
      <c r="E126" s="505">
        <f>52.3</f>
        <v>52.3</v>
      </c>
      <c r="F126" s="654">
        <v>0</v>
      </c>
      <c r="G126" s="654">
        <v>0</v>
      </c>
      <c r="H126" s="654">
        <v>0</v>
      </c>
      <c r="I126" s="312">
        <f t="shared" si="25"/>
        <v>0</v>
      </c>
      <c r="J126" s="348" t="s">
        <v>117</v>
      </c>
    </row>
    <row r="127" spans="1:11" s="44" customFormat="1" ht="66.75" customHeight="1" outlineLevel="1" x14ac:dyDescent="0.2">
      <c r="A127" s="226" t="s">
        <v>396</v>
      </c>
      <c r="B127" s="183" t="s">
        <v>131</v>
      </c>
      <c r="C127" s="165" t="s">
        <v>653</v>
      </c>
      <c r="D127" s="136" t="s">
        <v>553</v>
      </c>
      <c r="E127" s="505">
        <v>180</v>
      </c>
      <c r="F127" s="654">
        <v>0</v>
      </c>
      <c r="G127" s="654">
        <v>0</v>
      </c>
      <c r="H127" s="654">
        <v>0</v>
      </c>
      <c r="I127" s="151">
        <f t="shared" si="25"/>
        <v>0</v>
      </c>
      <c r="J127" s="348" t="s">
        <v>117</v>
      </c>
    </row>
    <row r="128" spans="1:11" s="44" customFormat="1" ht="47.45" customHeight="1" outlineLevel="1" x14ac:dyDescent="0.2">
      <c r="A128" s="226" t="s">
        <v>397</v>
      </c>
      <c r="B128" s="183" t="s">
        <v>198</v>
      </c>
      <c r="C128" s="165" t="s">
        <v>656</v>
      </c>
      <c r="D128" s="136" t="s">
        <v>0</v>
      </c>
      <c r="E128" s="505">
        <f>115+20+30</f>
        <v>165</v>
      </c>
      <c r="F128" s="654">
        <v>0</v>
      </c>
      <c r="G128" s="654">
        <v>0</v>
      </c>
      <c r="H128" s="654">
        <v>0</v>
      </c>
      <c r="I128" s="312">
        <f t="shared" si="25"/>
        <v>0</v>
      </c>
      <c r="J128" s="348" t="s">
        <v>117</v>
      </c>
    </row>
    <row r="129" spans="1:10" s="44" customFormat="1" ht="55.9" customHeight="1" outlineLevel="1" x14ac:dyDescent="0.2">
      <c r="A129" s="226" t="s">
        <v>398</v>
      </c>
      <c r="B129" s="183" t="s">
        <v>554</v>
      </c>
      <c r="C129" s="165" t="s">
        <v>657</v>
      </c>
      <c r="D129" s="136" t="s">
        <v>373</v>
      </c>
      <c r="E129" s="505">
        <v>134</v>
      </c>
      <c r="F129" s="654">
        <v>0</v>
      </c>
      <c r="G129" s="654">
        <v>0</v>
      </c>
      <c r="H129" s="654">
        <v>0</v>
      </c>
      <c r="I129" s="312">
        <f t="shared" si="25"/>
        <v>0</v>
      </c>
      <c r="J129" s="348" t="s">
        <v>117</v>
      </c>
    </row>
    <row r="130" spans="1:10" s="44" customFormat="1" ht="81.599999999999994" customHeight="1" outlineLevel="1" x14ac:dyDescent="0.2">
      <c r="A130" s="226" t="s">
        <v>399</v>
      </c>
      <c r="B130" s="183" t="s">
        <v>607</v>
      </c>
      <c r="C130" s="165" t="s">
        <v>662</v>
      </c>
      <c r="D130" s="136" t="s">
        <v>373</v>
      </c>
      <c r="E130" s="505">
        <v>2</v>
      </c>
      <c r="F130" s="654">
        <v>0</v>
      </c>
      <c r="G130" s="654">
        <v>0</v>
      </c>
      <c r="H130" s="654">
        <v>0</v>
      </c>
      <c r="I130" s="312">
        <f t="shared" si="25"/>
        <v>0</v>
      </c>
      <c r="J130" s="506" t="s">
        <v>117</v>
      </c>
    </row>
    <row r="131" spans="1:10" s="44" customFormat="1" ht="76.5" outlineLevel="1" x14ac:dyDescent="0.2">
      <c r="A131" s="226" t="s">
        <v>400</v>
      </c>
      <c r="B131" s="183" t="s">
        <v>199</v>
      </c>
      <c r="C131" s="562" t="s">
        <v>729</v>
      </c>
      <c r="D131" s="136" t="s">
        <v>0</v>
      </c>
      <c r="E131" s="505">
        <v>760</v>
      </c>
      <c r="F131" s="654">
        <v>0</v>
      </c>
      <c r="G131" s="654">
        <v>0</v>
      </c>
      <c r="H131" s="654">
        <v>0</v>
      </c>
      <c r="I131" s="151">
        <f t="shared" si="25"/>
        <v>0</v>
      </c>
      <c r="J131" s="348" t="s">
        <v>117</v>
      </c>
    </row>
    <row r="132" spans="1:10" s="44" customFormat="1" ht="51" outlineLevel="1" x14ac:dyDescent="0.2">
      <c r="A132" s="226" t="s">
        <v>401</v>
      </c>
      <c r="B132" s="183" t="s">
        <v>938</v>
      </c>
      <c r="C132" s="165" t="s">
        <v>949</v>
      </c>
      <c r="D132" s="136" t="s">
        <v>373</v>
      </c>
      <c r="E132" s="505">
        <f>203.7</f>
        <v>203.7</v>
      </c>
      <c r="F132" s="654">
        <v>0</v>
      </c>
      <c r="G132" s="654">
        <v>0</v>
      </c>
      <c r="H132" s="654">
        <v>0</v>
      </c>
      <c r="I132" s="151">
        <f>SUM(F132:H132)*E132</f>
        <v>0</v>
      </c>
      <c r="J132" s="348" t="s">
        <v>117</v>
      </c>
    </row>
    <row r="133" spans="1:10" s="44" customFormat="1" ht="59.65" customHeight="1" outlineLevel="1" x14ac:dyDescent="0.2">
      <c r="A133" s="226" t="s">
        <v>402</v>
      </c>
      <c r="B133" s="183" t="s">
        <v>671</v>
      </c>
      <c r="C133" s="165" t="s">
        <v>200</v>
      </c>
      <c r="D133" s="136" t="s">
        <v>553</v>
      </c>
      <c r="E133" s="505">
        <v>291</v>
      </c>
      <c r="F133" s="654">
        <v>0</v>
      </c>
      <c r="G133" s="654">
        <v>0</v>
      </c>
      <c r="H133" s="654">
        <v>0</v>
      </c>
      <c r="I133" s="151">
        <f t="shared" ref="I133" si="26">SUM(F133:H133)*E133</f>
        <v>0</v>
      </c>
      <c r="J133" s="348" t="s">
        <v>117</v>
      </c>
    </row>
    <row r="134" spans="1:10" s="44" customFormat="1" ht="44.45" customHeight="1" outlineLevel="1" x14ac:dyDescent="0.2">
      <c r="A134" s="226" t="s">
        <v>403</v>
      </c>
      <c r="B134" s="183" t="s">
        <v>196</v>
      </c>
      <c r="C134" s="165" t="s">
        <v>672</v>
      </c>
      <c r="D134" s="136" t="s">
        <v>6</v>
      </c>
      <c r="E134" s="505">
        <v>87.3</v>
      </c>
      <c r="F134" s="654">
        <v>0</v>
      </c>
      <c r="G134" s="654">
        <v>0</v>
      </c>
      <c r="H134" s="654">
        <v>0</v>
      </c>
      <c r="I134" s="312">
        <f t="shared" ref="I134:I136" si="27">SUM(F134:H134)*E134</f>
        <v>0</v>
      </c>
      <c r="J134" s="348" t="s">
        <v>117</v>
      </c>
    </row>
    <row r="135" spans="1:10" s="44" customFormat="1" ht="36" customHeight="1" outlineLevel="1" x14ac:dyDescent="0.2">
      <c r="A135" s="226" t="s">
        <v>404</v>
      </c>
      <c r="B135" s="183" t="s">
        <v>201</v>
      </c>
      <c r="C135" s="165" t="s">
        <v>955</v>
      </c>
      <c r="D135" s="136" t="s">
        <v>373</v>
      </c>
      <c r="E135" s="564">
        <f>32.7</f>
        <v>32.700000000000003</v>
      </c>
      <c r="F135" s="654">
        <v>0</v>
      </c>
      <c r="G135" s="654">
        <v>0</v>
      </c>
      <c r="H135" s="654">
        <v>0</v>
      </c>
      <c r="I135" s="312">
        <f t="shared" si="27"/>
        <v>0</v>
      </c>
      <c r="J135" s="348" t="s">
        <v>117</v>
      </c>
    </row>
    <row r="136" spans="1:10" s="44" customFormat="1" ht="57" customHeight="1" outlineLevel="1" x14ac:dyDescent="0.2">
      <c r="A136" s="226" t="s">
        <v>405</v>
      </c>
      <c r="B136" s="183" t="s">
        <v>202</v>
      </c>
      <c r="C136" s="165" t="s">
        <v>964</v>
      </c>
      <c r="D136" s="136" t="s">
        <v>373</v>
      </c>
      <c r="E136" s="505">
        <v>49.05</v>
      </c>
      <c r="F136" s="654">
        <v>0</v>
      </c>
      <c r="G136" s="654">
        <v>0</v>
      </c>
      <c r="H136" s="654">
        <v>0</v>
      </c>
      <c r="I136" s="312">
        <f t="shared" si="27"/>
        <v>0</v>
      </c>
      <c r="J136" s="348" t="s">
        <v>117</v>
      </c>
    </row>
    <row r="137" spans="1:10" s="44" customFormat="1" ht="44.45" customHeight="1" outlineLevel="1" x14ac:dyDescent="0.2">
      <c r="A137" s="226" t="s">
        <v>406</v>
      </c>
      <c r="B137" s="183" t="s">
        <v>130</v>
      </c>
      <c r="C137" s="165" t="s">
        <v>673</v>
      </c>
      <c r="D137" s="136" t="s">
        <v>553</v>
      </c>
      <c r="E137" s="505">
        <v>350</v>
      </c>
      <c r="F137" s="654">
        <v>0</v>
      </c>
      <c r="G137" s="654">
        <v>0</v>
      </c>
      <c r="H137" s="654">
        <v>0</v>
      </c>
      <c r="I137" s="151">
        <f>SUM(F137:H137)*E137</f>
        <v>0</v>
      </c>
      <c r="J137" s="348" t="s">
        <v>117</v>
      </c>
    </row>
    <row r="138" spans="1:10" s="44" customFormat="1" ht="51" outlineLevel="1" x14ac:dyDescent="0.2">
      <c r="A138" s="226" t="s">
        <v>407</v>
      </c>
      <c r="B138" s="416" t="s">
        <v>733</v>
      </c>
      <c r="C138" s="565" t="s">
        <v>735</v>
      </c>
      <c r="D138" s="136" t="s">
        <v>373</v>
      </c>
      <c r="E138" s="566">
        <f>E139*0.1</f>
        <v>1.4400000000000002</v>
      </c>
      <c r="F138" s="654">
        <v>0</v>
      </c>
      <c r="G138" s="654">
        <v>0</v>
      </c>
      <c r="H138" s="654">
        <v>0</v>
      </c>
      <c r="I138" s="151">
        <f t="shared" ref="I138:I140" si="28">SUM(F138:H138)*E138</f>
        <v>0</v>
      </c>
      <c r="J138" s="348" t="s">
        <v>117</v>
      </c>
    </row>
    <row r="139" spans="1:10" s="44" customFormat="1" ht="44.45" customHeight="1" outlineLevel="1" x14ac:dyDescent="0.2">
      <c r="A139" s="226" t="s">
        <v>818</v>
      </c>
      <c r="B139" s="179" t="s">
        <v>558</v>
      </c>
      <c r="C139" s="179" t="s">
        <v>691</v>
      </c>
      <c r="D139" s="141" t="s">
        <v>22</v>
      </c>
      <c r="E139" s="489">
        <v>14.4</v>
      </c>
      <c r="F139" s="654">
        <v>0</v>
      </c>
      <c r="G139" s="654">
        <v>0</v>
      </c>
      <c r="H139" s="654">
        <v>0</v>
      </c>
      <c r="I139" s="316">
        <f>SUM(F139:H139)*E139</f>
        <v>0</v>
      </c>
      <c r="J139" s="421" t="s">
        <v>117</v>
      </c>
    </row>
    <row r="140" spans="1:10" s="44" customFormat="1" ht="51" outlineLevel="1" x14ac:dyDescent="0.2">
      <c r="A140" s="226" t="s">
        <v>819</v>
      </c>
      <c r="B140" s="416" t="s">
        <v>731</v>
      </c>
      <c r="C140" s="565" t="s">
        <v>732</v>
      </c>
      <c r="D140" s="417" t="s">
        <v>0</v>
      </c>
      <c r="E140" s="567">
        <v>18</v>
      </c>
      <c r="F140" s="654">
        <v>0</v>
      </c>
      <c r="G140" s="654">
        <v>0</v>
      </c>
      <c r="H140" s="654">
        <v>0</v>
      </c>
      <c r="I140" s="151">
        <f t="shared" si="28"/>
        <v>0</v>
      </c>
      <c r="J140" s="348" t="s">
        <v>117</v>
      </c>
    </row>
    <row r="141" spans="1:10" s="44" customFormat="1" ht="76.5" outlineLevel="1" x14ac:dyDescent="0.2">
      <c r="A141" s="226" t="s">
        <v>820</v>
      </c>
      <c r="B141" s="459" t="s">
        <v>817</v>
      </c>
      <c r="C141" s="568" t="s">
        <v>762</v>
      </c>
      <c r="D141" s="462" t="s">
        <v>0</v>
      </c>
      <c r="E141" s="569">
        <f>260+160+4</f>
        <v>424</v>
      </c>
      <c r="F141" s="654">
        <v>0</v>
      </c>
      <c r="G141" s="654">
        <v>0</v>
      </c>
      <c r="H141" s="654">
        <v>0</v>
      </c>
      <c r="I141" s="460">
        <f>SUM(F141:H141)*E141</f>
        <v>0</v>
      </c>
      <c r="J141" s="461" t="s">
        <v>117</v>
      </c>
    </row>
    <row r="142" spans="1:10" s="44" customFormat="1" ht="42" customHeight="1" outlineLevel="1" x14ac:dyDescent="0.2">
      <c r="A142" s="226" t="s">
        <v>821</v>
      </c>
      <c r="B142" s="183" t="s">
        <v>596</v>
      </c>
      <c r="C142" s="165" t="s">
        <v>674</v>
      </c>
      <c r="D142" s="136" t="s">
        <v>553</v>
      </c>
      <c r="E142" s="570">
        <f>327-E139</f>
        <v>312.60000000000002</v>
      </c>
      <c r="F142" s="654">
        <v>0</v>
      </c>
      <c r="G142" s="654">
        <v>0</v>
      </c>
      <c r="H142" s="654">
        <v>0</v>
      </c>
      <c r="I142" s="151">
        <f t="shared" ref="I142" si="29">SUM(F142:H142)*E142</f>
        <v>0</v>
      </c>
      <c r="J142" s="348" t="s">
        <v>117</v>
      </c>
    </row>
    <row r="143" spans="1:10" s="44" customFormat="1" ht="33" customHeight="1" x14ac:dyDescent="0.2">
      <c r="A143" s="235" t="s">
        <v>24</v>
      </c>
      <c r="B143" s="696" t="s">
        <v>378</v>
      </c>
      <c r="C143" s="696"/>
      <c r="D143" s="234"/>
      <c r="E143" s="234"/>
      <c r="F143" s="378"/>
      <c r="G143" s="378"/>
      <c r="H143" s="378"/>
      <c r="I143" s="162">
        <f>SUM(I144:I155)</f>
        <v>0</v>
      </c>
      <c r="J143" s="339"/>
    </row>
    <row r="144" spans="1:10" s="44" customFormat="1" ht="148.15" customHeight="1" outlineLevel="1" x14ac:dyDescent="0.2">
      <c r="A144" s="507" t="s">
        <v>408</v>
      </c>
      <c r="B144" s="179" t="s">
        <v>205</v>
      </c>
      <c r="C144" s="179" t="s">
        <v>676</v>
      </c>
      <c r="D144" s="141" t="s">
        <v>1</v>
      </c>
      <c r="E144" s="418">
        <f>3.41+1.85+0.41+0.3</f>
        <v>5.97</v>
      </c>
      <c r="F144" s="654">
        <v>0</v>
      </c>
      <c r="G144" s="654">
        <v>0</v>
      </c>
      <c r="H144" s="654">
        <v>0</v>
      </c>
      <c r="I144" s="315">
        <f>SUM(F144:H144)*E144</f>
        <v>0</v>
      </c>
      <c r="J144" s="347" t="s">
        <v>117</v>
      </c>
    </row>
    <row r="145" spans="1:10" s="44" customFormat="1" ht="183.6" customHeight="1" outlineLevel="1" x14ac:dyDescent="0.2">
      <c r="A145" s="573" t="s">
        <v>409</v>
      </c>
      <c r="B145" s="179" t="s">
        <v>206</v>
      </c>
      <c r="C145" s="179" t="s">
        <v>677</v>
      </c>
      <c r="D145" s="141" t="s">
        <v>1</v>
      </c>
      <c r="E145" s="418">
        <f>4.8+5.63+0.8+0.25+0.07+0.07</f>
        <v>11.620000000000001</v>
      </c>
      <c r="F145" s="654">
        <v>0</v>
      </c>
      <c r="G145" s="654">
        <v>0</v>
      </c>
      <c r="H145" s="654">
        <v>0</v>
      </c>
      <c r="I145" s="315">
        <f t="shared" ref="I145:I155" si="30">SUM(F145:H145)*E145</f>
        <v>0</v>
      </c>
      <c r="J145" s="347" t="s">
        <v>117</v>
      </c>
    </row>
    <row r="146" spans="1:10" s="44" customFormat="1" ht="157.15" customHeight="1" outlineLevel="1" x14ac:dyDescent="0.2">
      <c r="A146" s="573" t="s">
        <v>410</v>
      </c>
      <c r="B146" s="179" t="s">
        <v>207</v>
      </c>
      <c r="C146" s="179" t="s">
        <v>822</v>
      </c>
      <c r="D146" s="141" t="s">
        <v>1</v>
      </c>
      <c r="E146" s="418">
        <f>(0.85+1.63+0.58+0.14+0.07)*0</f>
        <v>0</v>
      </c>
      <c r="F146" s="654">
        <v>0</v>
      </c>
      <c r="G146" s="654">
        <v>0</v>
      </c>
      <c r="H146" s="654">
        <v>0</v>
      </c>
      <c r="I146" s="316">
        <f t="shared" si="30"/>
        <v>0</v>
      </c>
      <c r="J146" s="347" t="s">
        <v>736</v>
      </c>
    </row>
    <row r="147" spans="1:10" s="44" customFormat="1" ht="125.45" customHeight="1" outlineLevel="1" x14ac:dyDescent="0.2">
      <c r="A147" s="573" t="s">
        <v>411</v>
      </c>
      <c r="B147" s="179" t="s">
        <v>678</v>
      </c>
      <c r="C147" s="179" t="s">
        <v>1005</v>
      </c>
      <c r="D147" s="141" t="s">
        <v>22</v>
      </c>
      <c r="E147" s="575">
        <v>322</v>
      </c>
      <c r="F147" s="654">
        <v>0</v>
      </c>
      <c r="G147" s="654">
        <v>0</v>
      </c>
      <c r="H147" s="654">
        <v>0</v>
      </c>
      <c r="I147" s="316">
        <f t="shared" si="30"/>
        <v>0</v>
      </c>
      <c r="J147" s="347" t="s">
        <v>117</v>
      </c>
    </row>
    <row r="148" spans="1:10" s="44" customFormat="1" ht="153" outlineLevel="1" x14ac:dyDescent="0.2">
      <c r="A148" s="573" t="s">
        <v>412</v>
      </c>
      <c r="B148" s="179" t="s">
        <v>726</v>
      </c>
      <c r="C148" s="179" t="s">
        <v>1006</v>
      </c>
      <c r="D148" s="141" t="s">
        <v>22</v>
      </c>
      <c r="E148" s="171">
        <v>150</v>
      </c>
      <c r="F148" s="654">
        <v>0</v>
      </c>
      <c r="G148" s="654">
        <v>0</v>
      </c>
      <c r="H148" s="654">
        <v>0</v>
      </c>
      <c r="I148" s="315">
        <f t="shared" si="30"/>
        <v>0</v>
      </c>
      <c r="J148" s="347" t="s">
        <v>117</v>
      </c>
    </row>
    <row r="149" spans="1:10" s="44" customFormat="1" ht="81.599999999999994" customHeight="1" outlineLevel="1" x14ac:dyDescent="0.2">
      <c r="A149" s="573" t="s">
        <v>413</v>
      </c>
      <c r="B149" s="179" t="s">
        <v>1007</v>
      </c>
      <c r="C149" s="179" t="s">
        <v>737</v>
      </c>
      <c r="D149" s="141" t="s">
        <v>16</v>
      </c>
      <c r="E149" s="171">
        <v>25</v>
      </c>
      <c r="F149" s="654">
        <v>0</v>
      </c>
      <c r="G149" s="654">
        <v>0</v>
      </c>
      <c r="H149" s="654">
        <v>0</v>
      </c>
      <c r="I149" s="315">
        <f t="shared" si="30"/>
        <v>0</v>
      </c>
      <c r="J149" s="347" t="s">
        <v>117</v>
      </c>
    </row>
    <row r="150" spans="1:10" s="44" customFormat="1" ht="97.9" customHeight="1" outlineLevel="1" x14ac:dyDescent="0.2">
      <c r="A150" s="573" t="s">
        <v>414</v>
      </c>
      <c r="B150" s="179" t="s">
        <v>204</v>
      </c>
      <c r="C150" s="179" t="s">
        <v>679</v>
      </c>
      <c r="D150" s="141" t="s">
        <v>169</v>
      </c>
      <c r="E150" s="418">
        <f>0.69+0.18</f>
        <v>0.86999999999999988</v>
      </c>
      <c r="F150" s="654">
        <v>0</v>
      </c>
      <c r="G150" s="654">
        <v>0</v>
      </c>
      <c r="H150" s="654">
        <v>0</v>
      </c>
      <c r="I150" s="315">
        <f t="shared" si="30"/>
        <v>0</v>
      </c>
      <c r="J150" s="347" t="s">
        <v>117</v>
      </c>
    </row>
    <row r="151" spans="1:10" s="44" customFormat="1" ht="127.5" outlineLevel="1" x14ac:dyDescent="0.2">
      <c r="A151" s="573" t="s">
        <v>415</v>
      </c>
      <c r="B151" s="179" t="s">
        <v>680</v>
      </c>
      <c r="C151" s="179" t="s">
        <v>681</v>
      </c>
      <c r="D151" s="141" t="s">
        <v>553</v>
      </c>
      <c r="E151" s="171">
        <v>356</v>
      </c>
      <c r="F151" s="654">
        <v>0</v>
      </c>
      <c r="G151" s="654">
        <v>0</v>
      </c>
      <c r="H151" s="654">
        <v>0</v>
      </c>
      <c r="I151" s="316">
        <f t="shared" si="30"/>
        <v>0</v>
      </c>
      <c r="J151" s="347" t="s">
        <v>117</v>
      </c>
    </row>
    <row r="152" spans="1:10" s="44" customFormat="1" ht="127.5" outlineLevel="1" x14ac:dyDescent="0.2">
      <c r="A152" s="573" t="s">
        <v>416</v>
      </c>
      <c r="B152" s="179" t="s">
        <v>208</v>
      </c>
      <c r="C152" s="179" t="s">
        <v>741</v>
      </c>
      <c r="D152" s="141" t="s">
        <v>22</v>
      </c>
      <c r="E152" s="171">
        <f>152+205+81-15</f>
        <v>423</v>
      </c>
      <c r="F152" s="654">
        <v>0</v>
      </c>
      <c r="G152" s="654">
        <v>0</v>
      </c>
      <c r="H152" s="654">
        <v>0</v>
      </c>
      <c r="I152" s="315">
        <f t="shared" si="30"/>
        <v>0</v>
      </c>
      <c r="J152" s="347" t="s">
        <v>117</v>
      </c>
    </row>
    <row r="153" spans="1:10" s="44" customFormat="1" ht="114.75" outlineLevel="1" x14ac:dyDescent="0.2">
      <c r="A153" s="573" t="s">
        <v>417</v>
      </c>
      <c r="B153" s="179" t="s">
        <v>688</v>
      </c>
      <c r="C153" s="179" t="s">
        <v>555</v>
      </c>
      <c r="D153" s="141" t="s">
        <v>22</v>
      </c>
      <c r="E153" s="171">
        <v>49</v>
      </c>
      <c r="F153" s="654">
        <v>0</v>
      </c>
      <c r="G153" s="654">
        <v>0</v>
      </c>
      <c r="H153" s="654">
        <v>0</v>
      </c>
      <c r="I153" s="315">
        <f t="shared" si="30"/>
        <v>0</v>
      </c>
      <c r="J153" s="347" t="s">
        <v>117</v>
      </c>
    </row>
    <row r="154" spans="1:10" s="44" customFormat="1" ht="114.75" outlineLevel="1" x14ac:dyDescent="0.2">
      <c r="A154" s="573" t="s">
        <v>418</v>
      </c>
      <c r="B154" s="179" t="s">
        <v>687</v>
      </c>
      <c r="C154" s="179" t="s">
        <v>556</v>
      </c>
      <c r="D154" s="141" t="s">
        <v>22</v>
      </c>
      <c r="E154" s="171">
        <v>31</v>
      </c>
      <c r="F154" s="654">
        <v>0</v>
      </c>
      <c r="G154" s="654">
        <v>0</v>
      </c>
      <c r="H154" s="654">
        <v>0</v>
      </c>
      <c r="I154" s="315">
        <f t="shared" si="30"/>
        <v>0</v>
      </c>
      <c r="J154" s="347" t="s">
        <v>117</v>
      </c>
    </row>
    <row r="155" spans="1:10" s="44" customFormat="1" ht="43.9" customHeight="1" outlineLevel="1" x14ac:dyDescent="0.2">
      <c r="A155" s="573" t="s">
        <v>419</v>
      </c>
      <c r="B155" s="179" t="s">
        <v>209</v>
      </c>
      <c r="C155" s="179" t="s">
        <v>557</v>
      </c>
      <c r="D155" s="141" t="s">
        <v>33</v>
      </c>
      <c r="E155" s="171">
        <v>1</v>
      </c>
      <c r="F155" s="654">
        <v>0</v>
      </c>
      <c r="G155" s="654">
        <v>0</v>
      </c>
      <c r="H155" s="654">
        <v>0</v>
      </c>
      <c r="I155" s="371">
        <f t="shared" si="30"/>
        <v>0</v>
      </c>
      <c r="J155" s="347" t="s">
        <v>117</v>
      </c>
    </row>
    <row r="156" spans="1:10" s="44" customFormat="1" ht="33" customHeight="1" x14ac:dyDescent="0.2">
      <c r="A156" s="235" t="s">
        <v>159</v>
      </c>
      <c r="B156" s="712" t="s">
        <v>390</v>
      </c>
      <c r="C156" s="712"/>
      <c r="D156" s="234"/>
      <c r="E156" s="234"/>
      <c r="F156" s="378"/>
      <c r="G156" s="378"/>
      <c r="H156" s="378"/>
      <c r="I156" s="162">
        <f>SUM(I157:I194)</f>
        <v>0</v>
      </c>
      <c r="J156" s="339"/>
    </row>
    <row r="157" spans="1:10" s="44" customFormat="1" ht="66.75" customHeight="1" outlineLevel="1" x14ac:dyDescent="0.2">
      <c r="A157" s="507" t="s">
        <v>420</v>
      </c>
      <c r="B157" s="179" t="s">
        <v>210</v>
      </c>
      <c r="C157" s="179" t="s">
        <v>689</v>
      </c>
      <c r="D157" s="141" t="s">
        <v>0</v>
      </c>
      <c r="E157" s="171">
        <v>74</v>
      </c>
      <c r="F157" s="657">
        <v>0</v>
      </c>
      <c r="G157" s="657">
        <v>0</v>
      </c>
      <c r="H157" s="657">
        <v>0</v>
      </c>
      <c r="I157" s="371">
        <f t="shared" ref="I157" si="31">SUM(F157:H157)*E157</f>
        <v>0</v>
      </c>
      <c r="J157" s="347" t="s">
        <v>117</v>
      </c>
    </row>
    <row r="158" spans="1:10" s="44" customFormat="1" ht="63.75" outlineLevel="1" x14ac:dyDescent="0.2">
      <c r="A158" s="573" t="s">
        <v>421</v>
      </c>
      <c r="B158" s="179" t="s">
        <v>387</v>
      </c>
      <c r="C158" s="179" t="s">
        <v>690</v>
      </c>
      <c r="D158" s="141" t="s">
        <v>22</v>
      </c>
      <c r="E158" s="171">
        <v>25</v>
      </c>
      <c r="F158" s="657">
        <v>0</v>
      </c>
      <c r="G158" s="657">
        <v>0</v>
      </c>
      <c r="H158" s="657">
        <v>0</v>
      </c>
      <c r="I158" s="371">
        <f>SUM(F158:H158)*E158</f>
        <v>0</v>
      </c>
      <c r="J158" s="347" t="s">
        <v>117</v>
      </c>
    </row>
    <row r="159" spans="1:10" s="44" customFormat="1" ht="65.099999999999994" customHeight="1" outlineLevel="1" x14ac:dyDescent="0.2">
      <c r="A159" s="573" t="s">
        <v>422</v>
      </c>
      <c r="B159" s="179" t="s">
        <v>1025</v>
      </c>
      <c r="C159" s="179" t="s">
        <v>692</v>
      </c>
      <c r="D159" s="141" t="s">
        <v>22</v>
      </c>
      <c r="E159" s="171">
        <f>276</f>
        <v>276</v>
      </c>
      <c r="F159" s="657">
        <v>0</v>
      </c>
      <c r="G159" s="657">
        <v>0</v>
      </c>
      <c r="H159" s="657">
        <v>0</v>
      </c>
      <c r="I159" s="371">
        <f t="shared" ref="I159" si="32">SUM(F159:H159)*E159</f>
        <v>0</v>
      </c>
      <c r="J159" s="347" t="s">
        <v>117</v>
      </c>
    </row>
    <row r="160" spans="1:10" s="44" customFormat="1" ht="79.150000000000006" customHeight="1" outlineLevel="1" x14ac:dyDescent="0.2">
      <c r="A160" s="573" t="s">
        <v>423</v>
      </c>
      <c r="B160" s="179" t="s">
        <v>559</v>
      </c>
      <c r="C160" s="179" t="s">
        <v>797</v>
      </c>
      <c r="D160" s="141" t="s">
        <v>22</v>
      </c>
      <c r="E160" s="171">
        <f>305.3+43.8</f>
        <v>349.1</v>
      </c>
      <c r="F160" s="657">
        <v>0</v>
      </c>
      <c r="G160" s="657">
        <v>0</v>
      </c>
      <c r="H160" s="657">
        <v>0</v>
      </c>
      <c r="I160" s="371">
        <f t="shared" ref="I160:I165" si="33">SUM(F160:H160)*E160</f>
        <v>0</v>
      </c>
      <c r="J160" s="347" t="s">
        <v>117</v>
      </c>
    </row>
    <row r="161" spans="1:10" s="44" customFormat="1" ht="82.9" customHeight="1" outlineLevel="1" x14ac:dyDescent="0.2">
      <c r="A161" s="573" t="s">
        <v>424</v>
      </c>
      <c r="B161" s="179" t="s">
        <v>1024</v>
      </c>
      <c r="C161" s="179" t="s">
        <v>717</v>
      </c>
      <c r="D161" s="141" t="s">
        <v>22</v>
      </c>
      <c r="E161" s="171">
        <f>104+15+24+48</f>
        <v>191</v>
      </c>
      <c r="F161" s="657">
        <v>0</v>
      </c>
      <c r="G161" s="657">
        <v>0</v>
      </c>
      <c r="H161" s="657">
        <v>0</v>
      </c>
      <c r="I161" s="371">
        <f t="shared" si="33"/>
        <v>0</v>
      </c>
      <c r="J161" s="347" t="s">
        <v>117</v>
      </c>
    </row>
    <row r="162" spans="1:10" s="44" customFormat="1" ht="89.25" outlineLevel="1" x14ac:dyDescent="0.2">
      <c r="A162" s="573" t="s">
        <v>425</v>
      </c>
      <c r="B162" s="179" t="s">
        <v>560</v>
      </c>
      <c r="C162" s="179" t="s">
        <v>798</v>
      </c>
      <c r="D162" s="141" t="s">
        <v>22</v>
      </c>
      <c r="E162" s="610">
        <f>305.3+43.8</f>
        <v>349.1</v>
      </c>
      <c r="F162" s="657">
        <v>0</v>
      </c>
      <c r="G162" s="657">
        <v>0</v>
      </c>
      <c r="H162" s="657">
        <v>0</v>
      </c>
      <c r="I162" s="371">
        <f t="shared" si="33"/>
        <v>0</v>
      </c>
      <c r="J162" s="347" t="s">
        <v>117</v>
      </c>
    </row>
    <row r="163" spans="1:10" s="44" customFormat="1" ht="30.75" customHeight="1" outlineLevel="1" x14ac:dyDescent="0.2">
      <c r="A163" s="573" t="s">
        <v>426</v>
      </c>
      <c r="B163" s="179" t="s">
        <v>561</v>
      </c>
      <c r="C163" s="179" t="s">
        <v>801</v>
      </c>
      <c r="D163" s="141" t="s">
        <v>22</v>
      </c>
      <c r="E163" s="171">
        <v>15.1</v>
      </c>
      <c r="F163" s="657">
        <v>0</v>
      </c>
      <c r="G163" s="657">
        <v>0</v>
      </c>
      <c r="H163" s="657">
        <v>0</v>
      </c>
      <c r="I163" s="371">
        <f t="shared" si="33"/>
        <v>0</v>
      </c>
      <c r="J163" s="347" t="s">
        <v>117</v>
      </c>
    </row>
    <row r="164" spans="1:10" s="44" customFormat="1" ht="42.6" customHeight="1" outlineLevel="1" x14ac:dyDescent="0.2">
      <c r="A164" s="573" t="s">
        <v>427</v>
      </c>
      <c r="B164" s="179" t="s">
        <v>211</v>
      </c>
      <c r="C164" s="179" t="s">
        <v>800</v>
      </c>
      <c r="D164" s="141" t="s">
        <v>22</v>
      </c>
      <c r="E164" s="171">
        <v>28.7</v>
      </c>
      <c r="F164" s="657">
        <v>0</v>
      </c>
      <c r="G164" s="657">
        <v>0</v>
      </c>
      <c r="H164" s="657">
        <v>0</v>
      </c>
      <c r="I164" s="371">
        <f t="shared" si="33"/>
        <v>0</v>
      </c>
      <c r="J164" s="347" t="s">
        <v>117</v>
      </c>
    </row>
    <row r="165" spans="1:10" s="44" customFormat="1" ht="29.45" customHeight="1" outlineLevel="1" x14ac:dyDescent="0.2">
      <c r="A165" s="573" t="s">
        <v>428</v>
      </c>
      <c r="B165" s="185" t="s">
        <v>562</v>
      </c>
      <c r="C165" s="185" t="s">
        <v>802</v>
      </c>
      <c r="D165" s="611" t="s">
        <v>22</v>
      </c>
      <c r="E165" s="555">
        <v>35.6</v>
      </c>
      <c r="F165" s="657">
        <v>0</v>
      </c>
      <c r="G165" s="657">
        <v>0</v>
      </c>
      <c r="H165" s="657">
        <v>0</v>
      </c>
      <c r="I165" s="372">
        <f t="shared" si="33"/>
        <v>0</v>
      </c>
      <c r="J165" s="349" t="s">
        <v>117</v>
      </c>
    </row>
    <row r="166" spans="1:10" s="44" customFormat="1" ht="63.75" outlineLevel="1" x14ac:dyDescent="0.2">
      <c r="A166" s="573" t="s">
        <v>429</v>
      </c>
      <c r="B166" s="212" t="s">
        <v>742</v>
      </c>
      <c r="C166" s="215" t="s">
        <v>743</v>
      </c>
      <c r="D166" s="423" t="s">
        <v>22</v>
      </c>
      <c r="E166" s="302">
        <f>185+18</f>
        <v>203</v>
      </c>
      <c r="F166" s="657">
        <v>0</v>
      </c>
      <c r="G166" s="657">
        <v>0</v>
      </c>
      <c r="H166" s="657">
        <v>0</v>
      </c>
      <c r="I166" s="302">
        <f>SUM(F166:H166)*E166</f>
        <v>0</v>
      </c>
      <c r="J166" s="422" t="s">
        <v>117</v>
      </c>
    </row>
    <row r="167" spans="1:10" s="44" customFormat="1" ht="25.7" customHeight="1" outlineLevel="1" x14ac:dyDescent="0.2">
      <c r="A167" s="573" t="s">
        <v>430</v>
      </c>
      <c r="B167" s="179" t="s">
        <v>213</v>
      </c>
      <c r="C167" s="179" t="s">
        <v>212</v>
      </c>
      <c r="D167" s="141" t="s">
        <v>0</v>
      </c>
      <c r="E167" s="171">
        <v>100</v>
      </c>
      <c r="F167" s="657">
        <v>0</v>
      </c>
      <c r="G167" s="657">
        <v>0</v>
      </c>
      <c r="H167" s="657">
        <v>0</v>
      </c>
      <c r="I167" s="371">
        <f t="shared" ref="I167:I180" si="34">SUM(F167:H167)*E167</f>
        <v>0</v>
      </c>
      <c r="J167" s="347" t="s">
        <v>117</v>
      </c>
    </row>
    <row r="168" spans="1:10" s="44" customFormat="1" ht="48" customHeight="1" outlineLevel="1" x14ac:dyDescent="0.2">
      <c r="A168" s="573" t="s">
        <v>431</v>
      </c>
      <c r="B168" s="179" t="s">
        <v>563</v>
      </c>
      <c r="C168" s="179" t="s">
        <v>214</v>
      </c>
      <c r="D168" s="141" t="s">
        <v>22</v>
      </c>
      <c r="E168" s="171">
        <v>50</v>
      </c>
      <c r="F168" s="657">
        <v>0</v>
      </c>
      <c r="G168" s="657">
        <v>0</v>
      </c>
      <c r="H168" s="657">
        <v>0</v>
      </c>
      <c r="I168" s="371">
        <f t="shared" si="34"/>
        <v>0</v>
      </c>
      <c r="J168" s="347" t="s">
        <v>117</v>
      </c>
    </row>
    <row r="169" spans="1:10" s="44" customFormat="1" ht="61.15" customHeight="1" outlineLevel="1" x14ac:dyDescent="0.2">
      <c r="A169" s="573" t="s">
        <v>432</v>
      </c>
      <c r="B169" s="179" t="s">
        <v>563</v>
      </c>
      <c r="C169" s="179" t="s">
        <v>1017</v>
      </c>
      <c r="D169" s="141" t="s">
        <v>22</v>
      </c>
      <c r="E169" s="171">
        <v>15</v>
      </c>
      <c r="F169" s="657">
        <v>0</v>
      </c>
      <c r="G169" s="657">
        <v>0</v>
      </c>
      <c r="H169" s="657">
        <v>0</v>
      </c>
      <c r="I169" s="371">
        <f t="shared" si="34"/>
        <v>0</v>
      </c>
      <c r="J169" s="347" t="s">
        <v>117</v>
      </c>
    </row>
    <row r="170" spans="1:10" s="44" customFormat="1" ht="46.15" customHeight="1" outlineLevel="1" x14ac:dyDescent="0.2">
      <c r="A170" s="573" t="s">
        <v>433</v>
      </c>
      <c r="B170" s="179" t="s">
        <v>563</v>
      </c>
      <c r="C170" s="179" t="s">
        <v>215</v>
      </c>
      <c r="D170" s="141" t="s">
        <v>22</v>
      </c>
      <c r="E170" s="171">
        <v>35</v>
      </c>
      <c r="F170" s="657">
        <v>0</v>
      </c>
      <c r="G170" s="657">
        <v>0</v>
      </c>
      <c r="H170" s="657">
        <v>0</v>
      </c>
      <c r="I170" s="371">
        <f t="shared" si="34"/>
        <v>0</v>
      </c>
      <c r="J170" s="347" t="s">
        <v>117</v>
      </c>
    </row>
    <row r="171" spans="1:10" s="44" customFormat="1" ht="45.2" customHeight="1" outlineLevel="1" x14ac:dyDescent="0.2">
      <c r="A171" s="573" t="s">
        <v>434</v>
      </c>
      <c r="B171" s="179" t="s">
        <v>563</v>
      </c>
      <c r="C171" s="179" t="s">
        <v>216</v>
      </c>
      <c r="D171" s="141" t="s">
        <v>22</v>
      </c>
      <c r="E171" s="171">
        <v>35</v>
      </c>
      <c r="F171" s="657">
        <v>0</v>
      </c>
      <c r="G171" s="657">
        <v>0</v>
      </c>
      <c r="H171" s="657">
        <v>0</v>
      </c>
      <c r="I171" s="371">
        <f t="shared" si="34"/>
        <v>0</v>
      </c>
      <c r="J171" s="347" t="s">
        <v>117</v>
      </c>
    </row>
    <row r="172" spans="1:10" s="44" customFormat="1" ht="51" outlineLevel="1" x14ac:dyDescent="0.2">
      <c r="A172" s="573" t="s">
        <v>435</v>
      </c>
      <c r="B172" s="179" t="s">
        <v>563</v>
      </c>
      <c r="C172" s="179" t="s">
        <v>740</v>
      </c>
      <c r="D172" s="141" t="s">
        <v>22</v>
      </c>
      <c r="E172" s="171">
        <v>250</v>
      </c>
      <c r="F172" s="657">
        <v>0</v>
      </c>
      <c r="G172" s="657">
        <v>0</v>
      </c>
      <c r="H172" s="657">
        <v>0</v>
      </c>
      <c r="I172" s="371">
        <f t="shared" si="34"/>
        <v>0</v>
      </c>
      <c r="J172" s="347" t="s">
        <v>117</v>
      </c>
    </row>
    <row r="173" spans="1:10" s="44" customFormat="1" ht="54.6" customHeight="1" outlineLevel="1" x14ac:dyDescent="0.2">
      <c r="A173" s="573" t="s">
        <v>436</v>
      </c>
      <c r="B173" s="179" t="s">
        <v>564</v>
      </c>
      <c r="C173" s="179" t="s">
        <v>805</v>
      </c>
      <c r="D173" s="141" t="s">
        <v>0</v>
      </c>
      <c r="E173" s="171">
        <v>85</v>
      </c>
      <c r="F173" s="657">
        <v>0</v>
      </c>
      <c r="G173" s="657">
        <v>0</v>
      </c>
      <c r="H173" s="657">
        <v>0</v>
      </c>
      <c r="I173" s="371">
        <f t="shared" si="34"/>
        <v>0</v>
      </c>
      <c r="J173" s="347" t="s">
        <v>117</v>
      </c>
    </row>
    <row r="174" spans="1:10" s="44" customFormat="1" ht="46.5" customHeight="1" outlineLevel="1" x14ac:dyDescent="0.2">
      <c r="A174" s="573" t="s">
        <v>437</v>
      </c>
      <c r="B174" s="179" t="s">
        <v>217</v>
      </c>
      <c r="C174" s="179" t="s">
        <v>218</v>
      </c>
      <c r="D174" s="141" t="s">
        <v>33</v>
      </c>
      <c r="E174" s="171">
        <v>1</v>
      </c>
      <c r="F174" s="657">
        <v>0</v>
      </c>
      <c r="G174" s="657">
        <v>0</v>
      </c>
      <c r="H174" s="657">
        <v>0</v>
      </c>
      <c r="I174" s="371">
        <f t="shared" si="34"/>
        <v>0</v>
      </c>
      <c r="J174" s="347" t="s">
        <v>117</v>
      </c>
    </row>
    <row r="175" spans="1:10" s="44" customFormat="1" ht="127.5" outlineLevel="1" x14ac:dyDescent="0.2">
      <c r="A175" s="573" t="s">
        <v>438</v>
      </c>
      <c r="B175" s="179" t="s">
        <v>219</v>
      </c>
      <c r="C175" s="179" t="s">
        <v>565</v>
      </c>
      <c r="D175" s="141" t="s">
        <v>33</v>
      </c>
      <c r="E175" s="171">
        <v>1</v>
      </c>
      <c r="F175" s="657">
        <v>0</v>
      </c>
      <c r="G175" s="657">
        <v>0</v>
      </c>
      <c r="H175" s="657">
        <v>0</v>
      </c>
      <c r="I175" s="371">
        <f t="shared" si="34"/>
        <v>0</v>
      </c>
      <c r="J175" s="347" t="s">
        <v>117</v>
      </c>
    </row>
    <row r="176" spans="1:10" s="44" customFormat="1" ht="51" outlineLevel="1" x14ac:dyDescent="0.2">
      <c r="A176" s="573" t="s">
        <v>439</v>
      </c>
      <c r="B176" s="179" t="s">
        <v>220</v>
      </c>
      <c r="C176" s="179" t="s">
        <v>566</v>
      </c>
      <c r="D176" s="612" t="s">
        <v>33</v>
      </c>
      <c r="E176" s="171">
        <v>1</v>
      </c>
      <c r="F176" s="657">
        <v>0</v>
      </c>
      <c r="G176" s="657">
        <v>0</v>
      </c>
      <c r="H176" s="657">
        <v>0</v>
      </c>
      <c r="I176" s="371">
        <f t="shared" si="34"/>
        <v>0</v>
      </c>
      <c r="J176" s="347" t="s">
        <v>117</v>
      </c>
    </row>
    <row r="177" spans="1:11" s="44" customFormat="1" ht="70.150000000000006" customHeight="1" outlineLevel="1" x14ac:dyDescent="0.2">
      <c r="A177" s="573" t="s">
        <v>440</v>
      </c>
      <c r="B177" s="179" t="s">
        <v>567</v>
      </c>
      <c r="C177" s="179" t="s">
        <v>806</v>
      </c>
      <c r="D177" s="141" t="s">
        <v>0</v>
      </c>
      <c r="E177" s="171">
        <v>34</v>
      </c>
      <c r="F177" s="657">
        <v>0</v>
      </c>
      <c r="G177" s="657">
        <v>0</v>
      </c>
      <c r="H177" s="657">
        <v>0</v>
      </c>
      <c r="I177" s="371">
        <f t="shared" si="34"/>
        <v>0</v>
      </c>
      <c r="J177" s="347" t="s">
        <v>117</v>
      </c>
    </row>
    <row r="178" spans="1:11" s="44" customFormat="1" ht="26.25" customHeight="1" outlineLevel="1" x14ac:dyDescent="0.2">
      <c r="A178" s="573" t="s">
        <v>441</v>
      </c>
      <c r="B178" s="179" t="s">
        <v>221</v>
      </c>
      <c r="C178" s="179" t="s">
        <v>228</v>
      </c>
      <c r="D178" s="141" t="s">
        <v>33</v>
      </c>
      <c r="E178" s="171">
        <v>2</v>
      </c>
      <c r="F178" s="657">
        <v>0</v>
      </c>
      <c r="G178" s="657">
        <v>0</v>
      </c>
      <c r="H178" s="657">
        <v>0</v>
      </c>
      <c r="I178" s="371">
        <f t="shared" si="34"/>
        <v>0</v>
      </c>
      <c r="J178" s="347" t="s">
        <v>117</v>
      </c>
    </row>
    <row r="179" spans="1:11" s="44" customFormat="1" ht="114.75" outlineLevel="1" x14ac:dyDescent="0.2">
      <c r="A179" s="573" t="s">
        <v>442</v>
      </c>
      <c r="B179" s="179" t="s">
        <v>568</v>
      </c>
      <c r="C179" s="179" t="s">
        <v>823</v>
      </c>
      <c r="D179" s="141" t="s">
        <v>0</v>
      </c>
      <c r="E179" s="171">
        <f>38+54</f>
        <v>92</v>
      </c>
      <c r="F179" s="657">
        <v>0</v>
      </c>
      <c r="G179" s="657">
        <v>0</v>
      </c>
      <c r="H179" s="657">
        <v>0</v>
      </c>
      <c r="I179" s="371">
        <f t="shared" si="34"/>
        <v>0</v>
      </c>
      <c r="J179" s="347" t="s">
        <v>117</v>
      </c>
    </row>
    <row r="180" spans="1:11" s="44" customFormat="1" ht="102" outlineLevel="1" x14ac:dyDescent="0.2">
      <c r="A180" s="573" t="s">
        <v>443</v>
      </c>
      <c r="B180" s="179" t="s">
        <v>815</v>
      </c>
      <c r="C180" s="179" t="s">
        <v>1023</v>
      </c>
      <c r="D180" s="141" t="s">
        <v>33</v>
      </c>
      <c r="E180" s="171">
        <f>5+1+3+2+2+3+5+4+5+4+3</f>
        <v>37</v>
      </c>
      <c r="F180" s="657">
        <v>0</v>
      </c>
      <c r="G180" s="657">
        <v>0</v>
      </c>
      <c r="H180" s="657">
        <v>0</v>
      </c>
      <c r="I180" s="371">
        <f t="shared" si="34"/>
        <v>0</v>
      </c>
      <c r="J180" s="347" t="s">
        <v>117</v>
      </c>
    </row>
    <row r="181" spans="1:11" s="44" customFormat="1" ht="303.60000000000002" customHeight="1" outlineLevel="1" x14ac:dyDescent="0.2">
      <c r="A181" s="573" t="s">
        <v>444</v>
      </c>
      <c r="B181" s="472" t="s">
        <v>767</v>
      </c>
      <c r="C181" s="179" t="s">
        <v>771</v>
      </c>
      <c r="D181" s="141" t="s">
        <v>0</v>
      </c>
      <c r="E181" s="171">
        <v>123</v>
      </c>
      <c r="F181" s="657">
        <v>0</v>
      </c>
      <c r="G181" s="657">
        <v>0</v>
      </c>
      <c r="H181" s="657">
        <v>0</v>
      </c>
      <c r="I181" s="465">
        <f>SUM(F181:H181)*E181</f>
        <v>0</v>
      </c>
      <c r="J181" s="355" t="s">
        <v>117</v>
      </c>
    </row>
    <row r="182" spans="1:11" s="44" customFormat="1" ht="229.5" outlineLevel="1" x14ac:dyDescent="0.2">
      <c r="A182" s="573" t="s">
        <v>445</v>
      </c>
      <c r="B182" s="213" t="s">
        <v>356</v>
      </c>
      <c r="C182" s="613" t="s">
        <v>748</v>
      </c>
      <c r="D182" s="614" t="s">
        <v>0</v>
      </c>
      <c r="E182" s="171">
        <v>2350</v>
      </c>
      <c r="F182" s="657">
        <v>0</v>
      </c>
      <c r="G182" s="657">
        <v>0</v>
      </c>
      <c r="H182" s="657">
        <v>0</v>
      </c>
      <c r="I182" s="373">
        <f>SUM(F182:H182)*E182</f>
        <v>0</v>
      </c>
      <c r="J182" s="347" t="s">
        <v>117</v>
      </c>
      <c r="K182" s="438"/>
    </row>
    <row r="183" spans="1:11" s="44" customFormat="1" ht="93" customHeight="1" outlineLevel="1" x14ac:dyDescent="0.2">
      <c r="A183" s="573" t="s">
        <v>446</v>
      </c>
      <c r="B183" s="179" t="s">
        <v>569</v>
      </c>
      <c r="C183" s="179" t="s">
        <v>222</v>
      </c>
      <c r="D183" s="141" t="s">
        <v>67</v>
      </c>
      <c r="E183" s="171">
        <v>1</v>
      </c>
      <c r="F183" s="657">
        <v>0</v>
      </c>
      <c r="G183" s="657">
        <v>0</v>
      </c>
      <c r="H183" s="657">
        <v>0</v>
      </c>
      <c r="I183" s="374">
        <f t="shared" ref="I183:I194" si="35">SUM(F183:H183)*E183</f>
        <v>0</v>
      </c>
      <c r="J183" s="347" t="s">
        <v>117</v>
      </c>
    </row>
    <row r="184" spans="1:11" s="44" customFormat="1" ht="38.450000000000003" customHeight="1" outlineLevel="1" x14ac:dyDescent="0.2">
      <c r="A184" s="573" t="s">
        <v>447</v>
      </c>
      <c r="B184" s="214" t="s">
        <v>223</v>
      </c>
      <c r="C184" s="214" t="s">
        <v>224</v>
      </c>
      <c r="D184" s="612" t="s">
        <v>33</v>
      </c>
      <c r="E184" s="615">
        <v>1</v>
      </c>
      <c r="F184" s="657">
        <v>0</v>
      </c>
      <c r="G184" s="657">
        <v>0</v>
      </c>
      <c r="H184" s="657">
        <v>0</v>
      </c>
      <c r="I184" s="371">
        <f t="shared" si="35"/>
        <v>0</v>
      </c>
      <c r="J184" s="347" t="s">
        <v>117</v>
      </c>
    </row>
    <row r="185" spans="1:11" s="44" customFormat="1" ht="38.450000000000003" customHeight="1" outlineLevel="1" x14ac:dyDescent="0.2">
      <c r="A185" s="573" t="s">
        <v>448</v>
      </c>
      <c r="B185" s="214" t="s">
        <v>225</v>
      </c>
      <c r="C185" s="214" t="s">
        <v>224</v>
      </c>
      <c r="D185" s="612" t="s">
        <v>33</v>
      </c>
      <c r="E185" s="615">
        <v>1</v>
      </c>
      <c r="F185" s="657">
        <v>0</v>
      </c>
      <c r="G185" s="657">
        <v>0</v>
      </c>
      <c r="H185" s="657">
        <v>0</v>
      </c>
      <c r="I185" s="371">
        <f t="shared" si="35"/>
        <v>0</v>
      </c>
      <c r="J185" s="347" t="s">
        <v>117</v>
      </c>
    </row>
    <row r="186" spans="1:11" s="44" customFormat="1" ht="35.450000000000003" customHeight="1" outlineLevel="1" x14ac:dyDescent="0.2">
      <c r="A186" s="573" t="s">
        <v>449</v>
      </c>
      <c r="B186" s="179" t="s">
        <v>226</v>
      </c>
      <c r="C186" s="179" t="s">
        <v>227</v>
      </c>
      <c r="D186" s="141" t="s">
        <v>33</v>
      </c>
      <c r="E186" s="171">
        <v>1</v>
      </c>
      <c r="F186" s="657">
        <v>0</v>
      </c>
      <c r="G186" s="657">
        <v>0</v>
      </c>
      <c r="H186" s="657">
        <v>0</v>
      </c>
      <c r="I186" s="371">
        <f t="shared" si="35"/>
        <v>0</v>
      </c>
      <c r="J186" s="347" t="s">
        <v>117</v>
      </c>
    </row>
    <row r="187" spans="1:11" s="44" customFormat="1" ht="38.25" outlineLevel="1" x14ac:dyDescent="0.2">
      <c r="A187" s="573" t="s">
        <v>450</v>
      </c>
      <c r="B187" s="179" t="s">
        <v>764</v>
      </c>
      <c r="C187" s="179" t="s">
        <v>763</v>
      </c>
      <c r="D187" s="141" t="s">
        <v>169</v>
      </c>
      <c r="E187" s="418">
        <v>0.59</v>
      </c>
      <c r="F187" s="657">
        <v>0</v>
      </c>
      <c r="G187" s="657">
        <v>0</v>
      </c>
      <c r="H187" s="657">
        <v>0</v>
      </c>
      <c r="I187" s="315">
        <f t="shared" ref="I187" si="36">SUM(F187:H187)*E187</f>
        <v>0</v>
      </c>
      <c r="J187" s="347" t="s">
        <v>117</v>
      </c>
    </row>
    <row r="188" spans="1:11" s="44" customFormat="1" ht="382.5" outlineLevel="1" x14ac:dyDescent="0.2">
      <c r="A188" s="573" t="s">
        <v>451</v>
      </c>
      <c r="B188" s="179" t="s">
        <v>777</v>
      </c>
      <c r="C188" s="179" t="s">
        <v>790</v>
      </c>
      <c r="D188" s="141" t="s">
        <v>33</v>
      </c>
      <c r="E188" s="171">
        <f>17+4+4</f>
        <v>25</v>
      </c>
      <c r="F188" s="657">
        <v>0</v>
      </c>
      <c r="G188" s="657">
        <v>0</v>
      </c>
      <c r="H188" s="657">
        <v>0</v>
      </c>
      <c r="I188" s="316">
        <f t="shared" si="35"/>
        <v>0</v>
      </c>
      <c r="J188" s="421" t="s">
        <v>602</v>
      </c>
    </row>
    <row r="189" spans="1:11" s="44" customFormat="1" ht="51" outlineLevel="1" x14ac:dyDescent="0.2">
      <c r="A189" s="573" t="s">
        <v>452</v>
      </c>
      <c r="B189" s="179" t="s">
        <v>1022</v>
      </c>
      <c r="C189" s="179" t="s">
        <v>235</v>
      </c>
      <c r="D189" s="141" t="s">
        <v>22</v>
      </c>
      <c r="E189" s="489">
        <v>6.8</v>
      </c>
      <c r="F189" s="657">
        <v>0</v>
      </c>
      <c r="G189" s="657">
        <v>0</v>
      </c>
      <c r="H189" s="657">
        <v>0</v>
      </c>
      <c r="I189" s="316">
        <f t="shared" si="35"/>
        <v>0</v>
      </c>
      <c r="J189" s="421" t="s">
        <v>117</v>
      </c>
    </row>
    <row r="190" spans="1:11" s="44" customFormat="1" ht="40.700000000000003" customHeight="1" outlineLevel="1" x14ac:dyDescent="0.2">
      <c r="A190" s="573" t="s">
        <v>453</v>
      </c>
      <c r="B190" s="467" t="s">
        <v>765</v>
      </c>
      <c r="C190" s="467" t="s">
        <v>766</v>
      </c>
      <c r="D190" s="463" t="s">
        <v>169</v>
      </c>
      <c r="E190" s="616">
        <v>5.3999999999999999E-2</v>
      </c>
      <c r="F190" s="657">
        <v>0</v>
      </c>
      <c r="G190" s="657">
        <v>0</v>
      </c>
      <c r="H190" s="657">
        <v>0</v>
      </c>
      <c r="I190" s="464">
        <f>SUM(F190:H190)*E190</f>
        <v>0</v>
      </c>
      <c r="J190" s="421" t="s">
        <v>117</v>
      </c>
    </row>
    <row r="191" spans="1:11" s="44" customFormat="1" ht="52.7" customHeight="1" outlineLevel="1" x14ac:dyDescent="0.2">
      <c r="A191" s="573" t="s">
        <v>454</v>
      </c>
      <c r="B191" s="179" t="s">
        <v>229</v>
      </c>
      <c r="C191" s="467" t="s">
        <v>727</v>
      </c>
      <c r="D191" s="463" t="s">
        <v>18</v>
      </c>
      <c r="E191" s="610">
        <v>15</v>
      </c>
      <c r="F191" s="657">
        <v>0</v>
      </c>
      <c r="G191" s="657">
        <v>0</v>
      </c>
      <c r="H191" s="657">
        <v>0</v>
      </c>
      <c r="I191" s="465">
        <f>SUM(F191:H191)*E191</f>
        <v>0</v>
      </c>
      <c r="J191" s="347" t="s">
        <v>117</v>
      </c>
    </row>
    <row r="192" spans="1:11" s="44" customFormat="1" ht="31.9" customHeight="1" outlineLevel="1" x14ac:dyDescent="0.2">
      <c r="A192" s="573" t="s">
        <v>455</v>
      </c>
      <c r="B192" s="179" t="s">
        <v>230</v>
      </c>
      <c r="C192" s="179" t="s">
        <v>231</v>
      </c>
      <c r="D192" s="141" t="s">
        <v>18</v>
      </c>
      <c r="E192" s="171">
        <v>1</v>
      </c>
      <c r="F192" s="657">
        <v>0</v>
      </c>
      <c r="G192" s="657">
        <v>0</v>
      </c>
      <c r="H192" s="657">
        <v>0</v>
      </c>
      <c r="I192" s="371">
        <f t="shared" si="35"/>
        <v>0</v>
      </c>
      <c r="J192" s="347" t="s">
        <v>117</v>
      </c>
    </row>
    <row r="193" spans="1:10" s="44" customFormat="1" ht="27.6" customHeight="1" outlineLevel="1" x14ac:dyDescent="0.2">
      <c r="A193" s="573" t="s">
        <v>824</v>
      </c>
      <c r="B193" s="179" t="s">
        <v>232</v>
      </c>
      <c r="C193" s="179" t="s">
        <v>233</v>
      </c>
      <c r="D193" s="141" t="s">
        <v>33</v>
      </c>
      <c r="E193" s="171">
        <v>3</v>
      </c>
      <c r="F193" s="657">
        <v>0</v>
      </c>
      <c r="G193" s="657">
        <v>0</v>
      </c>
      <c r="H193" s="657">
        <v>0</v>
      </c>
      <c r="I193" s="371">
        <f t="shared" si="35"/>
        <v>0</v>
      </c>
      <c r="J193" s="347" t="s">
        <v>117</v>
      </c>
    </row>
    <row r="194" spans="1:10" s="44" customFormat="1" ht="51" outlineLevel="1" x14ac:dyDescent="0.2">
      <c r="A194" s="573" t="s">
        <v>825</v>
      </c>
      <c r="B194" s="179" t="s">
        <v>234</v>
      </c>
      <c r="C194" s="179" t="s">
        <v>614</v>
      </c>
      <c r="D194" s="611" t="s">
        <v>67</v>
      </c>
      <c r="E194" s="555">
        <v>1</v>
      </c>
      <c r="F194" s="657">
        <v>0</v>
      </c>
      <c r="G194" s="657">
        <v>0</v>
      </c>
      <c r="H194" s="657">
        <v>0</v>
      </c>
      <c r="I194" s="371">
        <f t="shared" si="35"/>
        <v>0</v>
      </c>
      <c r="J194" s="349" t="s">
        <v>117</v>
      </c>
    </row>
    <row r="195" spans="1:10" s="44" customFormat="1" ht="33" customHeight="1" x14ac:dyDescent="0.2">
      <c r="A195" s="235" t="s">
        <v>120</v>
      </c>
      <c r="B195" s="712" t="s">
        <v>523</v>
      </c>
      <c r="C195" s="712"/>
      <c r="D195" s="238"/>
      <c r="E195" s="239"/>
      <c r="F195" s="239"/>
      <c r="G195" s="239"/>
      <c r="H195" s="379"/>
      <c r="I195" s="317">
        <f>SUM(I196:I198)</f>
        <v>0</v>
      </c>
      <c r="J195" s="137"/>
    </row>
    <row r="196" spans="1:10" s="44" customFormat="1" ht="169.15" customHeight="1" outlineLevel="1" x14ac:dyDescent="0.2">
      <c r="A196" s="508" t="s">
        <v>456</v>
      </c>
      <c r="B196" s="231" t="s">
        <v>568</v>
      </c>
      <c r="C196" s="286" t="s">
        <v>1020</v>
      </c>
      <c r="D196" s="139" t="s">
        <v>0</v>
      </c>
      <c r="E196" s="312">
        <f>15+10+14+15+17</f>
        <v>71</v>
      </c>
      <c r="F196" s="657">
        <v>0</v>
      </c>
      <c r="G196" s="657">
        <v>0</v>
      </c>
      <c r="H196" s="657">
        <v>0</v>
      </c>
      <c r="I196" s="374">
        <f>SUM(F196:H196)*E196</f>
        <v>0</v>
      </c>
      <c r="J196" s="346" t="s">
        <v>117</v>
      </c>
    </row>
    <row r="197" spans="1:10" s="44" customFormat="1" ht="177" customHeight="1" outlineLevel="1" x14ac:dyDescent="0.2">
      <c r="A197" s="573" t="s">
        <v>457</v>
      </c>
      <c r="B197" s="402" t="s">
        <v>388</v>
      </c>
      <c r="C197" s="472" t="s">
        <v>828</v>
      </c>
      <c r="D197" s="163" t="s">
        <v>0</v>
      </c>
      <c r="E197" s="302">
        <v>952</v>
      </c>
      <c r="F197" s="657">
        <v>0</v>
      </c>
      <c r="G197" s="657">
        <v>0</v>
      </c>
      <c r="H197" s="657">
        <v>0</v>
      </c>
      <c r="I197" s="375">
        <f>SUM(F197:H197)*E197</f>
        <v>0</v>
      </c>
      <c r="J197" s="347" t="s">
        <v>117</v>
      </c>
    </row>
    <row r="198" spans="1:10" s="44" customFormat="1" ht="38.25" customHeight="1" outlineLevel="1" x14ac:dyDescent="0.2">
      <c r="A198" s="573" t="s">
        <v>458</v>
      </c>
      <c r="B198" s="179" t="s">
        <v>226</v>
      </c>
      <c r="C198" s="286" t="s">
        <v>227</v>
      </c>
      <c r="D198" s="139" t="s">
        <v>33</v>
      </c>
      <c r="E198" s="312">
        <v>1</v>
      </c>
      <c r="F198" s="657">
        <v>0</v>
      </c>
      <c r="G198" s="657">
        <v>0</v>
      </c>
      <c r="H198" s="657">
        <v>0</v>
      </c>
      <c r="I198" s="371">
        <f>SUM(F198:H198)*E198</f>
        <v>0</v>
      </c>
      <c r="J198" s="347" t="s">
        <v>117</v>
      </c>
    </row>
    <row r="199" spans="1:10" s="135" customFormat="1" ht="33" customHeight="1" x14ac:dyDescent="0.2">
      <c r="A199" s="235" t="s">
        <v>160</v>
      </c>
      <c r="B199" s="712" t="s">
        <v>386</v>
      </c>
      <c r="C199" s="712"/>
      <c r="D199" s="234"/>
      <c r="E199" s="234"/>
      <c r="F199" s="378"/>
      <c r="G199" s="378"/>
      <c r="H199" s="380"/>
      <c r="I199" s="162">
        <f>SUM(I200:I201)</f>
        <v>0</v>
      </c>
      <c r="J199" s="339"/>
    </row>
    <row r="200" spans="1:10" s="135" customFormat="1" ht="55.15" customHeight="1" outlineLevel="1" x14ac:dyDescent="0.2">
      <c r="A200" s="509" t="s">
        <v>379</v>
      </c>
      <c r="B200" s="580" t="s">
        <v>236</v>
      </c>
      <c r="C200" s="581" t="s">
        <v>237</v>
      </c>
      <c r="D200" s="287" t="s">
        <v>16</v>
      </c>
      <c r="E200" s="318">
        <v>200</v>
      </c>
      <c r="F200" s="649">
        <v>0</v>
      </c>
      <c r="G200" s="649">
        <v>0</v>
      </c>
      <c r="H200" s="658">
        <v>0</v>
      </c>
      <c r="I200" s="311">
        <f>SUM(F200:H200)*E200</f>
        <v>0</v>
      </c>
      <c r="J200" s="347" t="s">
        <v>117</v>
      </c>
    </row>
    <row r="201" spans="1:10" s="135" customFormat="1" ht="79.150000000000006" customHeight="1" outlineLevel="1" x14ac:dyDescent="0.2">
      <c r="A201" s="509" t="s">
        <v>380</v>
      </c>
      <c r="B201" s="409" t="s">
        <v>1011</v>
      </c>
      <c r="C201" s="579" t="s">
        <v>570</v>
      </c>
      <c r="D201" s="139" t="s">
        <v>16</v>
      </c>
      <c r="E201" s="312">
        <v>400</v>
      </c>
      <c r="F201" s="649">
        <v>0</v>
      </c>
      <c r="G201" s="649">
        <v>0</v>
      </c>
      <c r="H201" s="658">
        <v>0</v>
      </c>
      <c r="I201" s="319">
        <f>SUM(F201:H201)*E201</f>
        <v>0</v>
      </c>
      <c r="J201" s="351" t="s">
        <v>117</v>
      </c>
    </row>
    <row r="202" spans="1:10" s="135" customFormat="1" ht="35.450000000000003" customHeight="1" x14ac:dyDescent="0.2">
      <c r="A202" s="235" t="s">
        <v>896</v>
      </c>
      <c r="B202" s="697" t="s">
        <v>381</v>
      </c>
      <c r="C202" s="697"/>
      <c r="D202" s="234"/>
      <c r="E202" s="164"/>
      <c r="F202" s="160"/>
      <c r="G202" s="160"/>
      <c r="H202" s="160"/>
      <c r="I202" s="162">
        <f>SUM(I203:I209)</f>
        <v>0</v>
      </c>
      <c r="J202" s="339"/>
    </row>
    <row r="203" spans="1:10" s="135" customFormat="1" ht="55.9" customHeight="1" outlineLevel="1" x14ac:dyDescent="0.2">
      <c r="A203" s="507" t="s">
        <v>897</v>
      </c>
      <c r="B203" s="402" t="s">
        <v>242</v>
      </c>
      <c r="C203" s="250" t="s">
        <v>597</v>
      </c>
      <c r="D203" s="136" t="s">
        <v>1</v>
      </c>
      <c r="E203" s="176">
        <v>1</v>
      </c>
      <c r="F203" s="654">
        <v>0</v>
      </c>
      <c r="G203" s="654">
        <f>-6000*1*0</f>
        <v>0</v>
      </c>
      <c r="H203" s="654">
        <v>0</v>
      </c>
      <c r="I203" s="151">
        <f>SUM(F203:H203)*E203</f>
        <v>0</v>
      </c>
      <c r="J203" s="353" t="s">
        <v>117</v>
      </c>
    </row>
    <row r="204" spans="1:10" s="135" customFormat="1" ht="135.19999999999999" customHeight="1" outlineLevel="1" x14ac:dyDescent="0.2">
      <c r="A204" s="573" t="s">
        <v>898</v>
      </c>
      <c r="B204" s="402" t="s">
        <v>827</v>
      </c>
      <c r="C204" s="183" t="s">
        <v>977</v>
      </c>
      <c r="D204" s="163" t="s">
        <v>1</v>
      </c>
      <c r="E204" s="510">
        <v>2.06</v>
      </c>
      <c r="F204" s="654">
        <v>0</v>
      </c>
      <c r="G204" s="654">
        <v>0</v>
      </c>
      <c r="H204" s="654">
        <v>0</v>
      </c>
      <c r="I204" s="176">
        <f>SUM(F204:H204)*E204</f>
        <v>0</v>
      </c>
      <c r="J204" s="137" t="s">
        <v>117</v>
      </c>
    </row>
    <row r="205" spans="1:10" s="135" customFormat="1" ht="106.9" customHeight="1" outlineLevel="1" x14ac:dyDescent="0.2">
      <c r="A205" s="573" t="s">
        <v>899</v>
      </c>
      <c r="B205" s="183" t="s">
        <v>1004</v>
      </c>
      <c r="C205" s="183" t="s">
        <v>829</v>
      </c>
      <c r="D205" s="163" t="s">
        <v>1</v>
      </c>
      <c r="E205" s="510">
        <v>0.66</v>
      </c>
      <c r="F205" s="654">
        <v>0</v>
      </c>
      <c r="G205" s="654">
        <v>0</v>
      </c>
      <c r="H205" s="654">
        <v>0</v>
      </c>
      <c r="I205" s="302">
        <f>SUM(F205:H205)*E205</f>
        <v>0</v>
      </c>
      <c r="J205" s="406" t="s">
        <v>117</v>
      </c>
    </row>
    <row r="206" spans="1:10" s="44" customFormat="1" ht="118.15" customHeight="1" outlineLevel="1" x14ac:dyDescent="0.2">
      <c r="A206" s="573" t="s">
        <v>900</v>
      </c>
      <c r="B206" s="212" t="s">
        <v>612</v>
      </c>
      <c r="C206" s="576" t="s">
        <v>1008</v>
      </c>
      <c r="D206" s="163" t="s">
        <v>1</v>
      </c>
      <c r="E206" s="510">
        <f>0.2</f>
        <v>0.2</v>
      </c>
      <c r="F206" s="654">
        <v>0</v>
      </c>
      <c r="G206" s="654">
        <v>0</v>
      </c>
      <c r="H206" s="654">
        <v>0</v>
      </c>
      <c r="I206" s="176">
        <f>SUM(F206:H206)*E206</f>
        <v>0</v>
      </c>
      <c r="J206" s="354" t="s">
        <v>117</v>
      </c>
    </row>
    <row r="207" spans="1:10" s="44" customFormat="1" ht="50.65" customHeight="1" outlineLevel="1" x14ac:dyDescent="0.2">
      <c r="A207" s="573" t="s">
        <v>901</v>
      </c>
      <c r="B207" s="576" t="s">
        <v>243</v>
      </c>
      <c r="C207" s="248" t="s">
        <v>826</v>
      </c>
      <c r="D207" s="184" t="s">
        <v>22</v>
      </c>
      <c r="E207" s="511">
        <v>175</v>
      </c>
      <c r="F207" s="654">
        <v>0</v>
      </c>
      <c r="G207" s="654">
        <v>0</v>
      </c>
      <c r="H207" s="654">
        <v>0</v>
      </c>
      <c r="I207" s="320">
        <f>SUM(F207:H207)*E207</f>
        <v>0</v>
      </c>
      <c r="J207" s="354" t="s">
        <v>117</v>
      </c>
    </row>
    <row r="208" spans="1:10" s="44" customFormat="1" ht="48" customHeight="1" outlineLevel="1" x14ac:dyDescent="0.2">
      <c r="A208" s="573" t="s">
        <v>902</v>
      </c>
      <c r="B208" s="577" t="s">
        <v>613</v>
      </c>
      <c r="C208" s="578" t="s">
        <v>571</v>
      </c>
      <c r="D208" s="184" t="s">
        <v>133</v>
      </c>
      <c r="E208" s="320">
        <v>50</v>
      </c>
      <c r="F208" s="654">
        <v>0</v>
      </c>
      <c r="G208" s="654">
        <v>0</v>
      </c>
      <c r="H208" s="654">
        <v>0</v>
      </c>
      <c r="I208" s="320">
        <f t="shared" ref="I208" si="37">SUM(F208:H208)*E208</f>
        <v>0</v>
      </c>
      <c r="J208" s="350" t="s">
        <v>117</v>
      </c>
    </row>
    <row r="209" spans="1:10" s="44" customFormat="1" ht="38.450000000000003" customHeight="1" outlineLevel="1" x14ac:dyDescent="0.2">
      <c r="A209" s="573" t="s">
        <v>903</v>
      </c>
      <c r="B209" s="409" t="s">
        <v>531</v>
      </c>
      <c r="C209" s="409" t="s">
        <v>532</v>
      </c>
      <c r="D209" s="141" t="s">
        <v>168</v>
      </c>
      <c r="E209" s="153">
        <v>20</v>
      </c>
      <c r="F209" s="654">
        <v>0</v>
      </c>
      <c r="G209" s="654">
        <v>0</v>
      </c>
      <c r="H209" s="654">
        <v>0</v>
      </c>
      <c r="I209" s="291">
        <f t="shared" ref="I209" si="38">SUM(F209:H209)*E209</f>
        <v>0</v>
      </c>
      <c r="J209" s="347" t="s">
        <v>117</v>
      </c>
    </row>
    <row r="210" spans="1:10" s="44" customFormat="1" ht="33" customHeight="1" x14ac:dyDescent="0.2">
      <c r="A210" s="235" t="s">
        <v>905</v>
      </c>
      <c r="B210" s="697" t="s">
        <v>636</v>
      </c>
      <c r="C210" s="697"/>
      <c r="D210" s="241"/>
      <c r="E210" s="241"/>
      <c r="F210" s="160"/>
      <c r="G210" s="160"/>
      <c r="H210" s="160"/>
      <c r="I210" s="162">
        <f>SUM(I211:I212)</f>
        <v>0</v>
      </c>
      <c r="J210" s="339"/>
    </row>
    <row r="211" spans="1:10" s="44" customFormat="1" ht="54" customHeight="1" outlineLevel="1" x14ac:dyDescent="0.2">
      <c r="A211" s="414" t="s">
        <v>538</v>
      </c>
      <c r="B211" s="402" t="s">
        <v>845</v>
      </c>
      <c r="C211" s="165" t="s">
        <v>870</v>
      </c>
      <c r="D211" s="166" t="s">
        <v>16</v>
      </c>
      <c r="E211" s="176">
        <v>100</v>
      </c>
      <c r="F211" s="644">
        <v>0</v>
      </c>
      <c r="G211" s="644">
        <v>0</v>
      </c>
      <c r="H211" s="644">
        <v>0</v>
      </c>
      <c r="I211" s="176">
        <f>SUM(F211:H211)*E211</f>
        <v>0</v>
      </c>
      <c r="J211" s="339" t="s">
        <v>117</v>
      </c>
    </row>
    <row r="212" spans="1:10" s="44" customFormat="1" ht="66.599999999999994" customHeight="1" outlineLevel="1" x14ac:dyDescent="0.2">
      <c r="A212" s="572" t="s">
        <v>906</v>
      </c>
      <c r="B212" s="201" t="s">
        <v>849</v>
      </c>
      <c r="C212" s="137" t="s">
        <v>855</v>
      </c>
      <c r="D212" s="167" t="s">
        <v>67</v>
      </c>
      <c r="E212" s="617">
        <v>2</v>
      </c>
      <c r="F212" s="659">
        <v>0</v>
      </c>
      <c r="G212" s="659">
        <v>0</v>
      </c>
      <c r="H212" s="659">
        <v>0</v>
      </c>
      <c r="I212" s="176">
        <f>SUM(F212:H212)*E212</f>
        <v>0</v>
      </c>
      <c r="J212" s="387" t="s">
        <v>606</v>
      </c>
    </row>
    <row r="213" spans="1:10" s="44" customFormat="1" ht="33.6" customHeight="1" x14ac:dyDescent="0.2">
      <c r="A213" s="235" t="s">
        <v>29</v>
      </c>
      <c r="B213" s="697" t="s">
        <v>1021</v>
      </c>
      <c r="C213" s="697"/>
      <c r="D213" s="238"/>
      <c r="E213" s="239"/>
      <c r="F213" s="239"/>
      <c r="G213" s="239"/>
      <c r="H213" s="239"/>
      <c r="I213" s="240"/>
      <c r="J213" s="137"/>
    </row>
    <row r="214" spans="1:10" s="44" customFormat="1" ht="35.450000000000003" customHeight="1" x14ac:dyDescent="0.2">
      <c r="A214" s="235" t="s">
        <v>907</v>
      </c>
      <c r="B214" s="711" t="s">
        <v>595</v>
      </c>
      <c r="C214" s="711"/>
      <c r="D214" s="242"/>
      <c r="E214" s="243"/>
      <c r="F214" s="160"/>
      <c r="G214" s="160"/>
      <c r="H214" s="160"/>
      <c r="I214" s="162">
        <f>SUM(I215:I228)</f>
        <v>0</v>
      </c>
      <c r="J214" s="345"/>
    </row>
    <row r="215" spans="1:10" s="44" customFormat="1" ht="93.6" customHeight="1" outlineLevel="1" x14ac:dyDescent="0.2">
      <c r="A215" s="414" t="s">
        <v>908</v>
      </c>
      <c r="B215" s="203" t="s">
        <v>382</v>
      </c>
      <c r="C215" s="179" t="s">
        <v>858</v>
      </c>
      <c r="D215" s="141" t="s">
        <v>33</v>
      </c>
      <c r="E215" s="171">
        <v>2</v>
      </c>
      <c r="F215" s="660">
        <v>0</v>
      </c>
      <c r="G215" s="661">
        <v>0</v>
      </c>
      <c r="H215" s="661">
        <v>0</v>
      </c>
      <c r="I215" s="176">
        <f t="shared" ref="I215:I228" si="39">SUM(F215:H215)*E215</f>
        <v>0</v>
      </c>
      <c r="J215" s="347" t="s">
        <v>117</v>
      </c>
    </row>
    <row r="216" spans="1:10" s="44" customFormat="1" ht="69" customHeight="1" outlineLevel="1" x14ac:dyDescent="0.2">
      <c r="A216" s="572" t="s">
        <v>910</v>
      </c>
      <c r="B216" s="168" t="s">
        <v>875</v>
      </c>
      <c r="C216" s="165" t="s">
        <v>890</v>
      </c>
      <c r="D216" s="166" t="s">
        <v>0</v>
      </c>
      <c r="E216" s="302">
        <f>150</f>
        <v>150</v>
      </c>
      <c r="F216" s="660">
        <v>0</v>
      </c>
      <c r="G216" s="661">
        <v>0</v>
      </c>
      <c r="H216" s="661">
        <v>0</v>
      </c>
      <c r="I216" s="176">
        <f t="shared" si="39"/>
        <v>0</v>
      </c>
      <c r="J216" s="412" t="s">
        <v>167</v>
      </c>
    </row>
    <row r="217" spans="1:10" s="44" customFormat="1" ht="79.900000000000006" customHeight="1" outlineLevel="1" x14ac:dyDescent="0.2">
      <c r="A217" s="572" t="s">
        <v>911</v>
      </c>
      <c r="B217" s="179" t="s">
        <v>240</v>
      </c>
      <c r="C217" s="179" t="s">
        <v>892</v>
      </c>
      <c r="D217" s="141" t="s">
        <v>0</v>
      </c>
      <c r="E217" s="171">
        <v>200</v>
      </c>
      <c r="F217" s="660">
        <v>0</v>
      </c>
      <c r="G217" s="661">
        <v>0</v>
      </c>
      <c r="H217" s="661">
        <v>0</v>
      </c>
      <c r="I217" s="176">
        <f t="shared" si="39"/>
        <v>0</v>
      </c>
      <c r="J217" s="347" t="s">
        <v>117</v>
      </c>
    </row>
    <row r="218" spans="1:10" s="44" customFormat="1" ht="75" customHeight="1" outlineLevel="1" x14ac:dyDescent="0.2">
      <c r="A218" s="572" t="s">
        <v>912</v>
      </c>
      <c r="B218" s="179" t="s">
        <v>894</v>
      </c>
      <c r="C218" s="179" t="s">
        <v>895</v>
      </c>
      <c r="D218" s="141" t="s">
        <v>33</v>
      </c>
      <c r="E218" s="171">
        <v>3</v>
      </c>
      <c r="F218" s="660">
        <v>0</v>
      </c>
      <c r="G218" s="661">
        <v>0</v>
      </c>
      <c r="H218" s="661">
        <v>0</v>
      </c>
      <c r="I218" s="176">
        <f t="shared" si="39"/>
        <v>0</v>
      </c>
      <c r="J218" s="347" t="s">
        <v>117</v>
      </c>
    </row>
    <row r="219" spans="1:10" s="44" customFormat="1" ht="46.9" customHeight="1" outlineLevel="1" x14ac:dyDescent="0.2">
      <c r="A219" s="572" t="s">
        <v>913</v>
      </c>
      <c r="B219" s="179" t="s">
        <v>936</v>
      </c>
      <c r="C219" s="179" t="s">
        <v>383</v>
      </c>
      <c r="D219" s="141" t="s">
        <v>18</v>
      </c>
      <c r="E219" s="171">
        <v>1</v>
      </c>
      <c r="F219" s="660">
        <v>0</v>
      </c>
      <c r="G219" s="661">
        <v>0</v>
      </c>
      <c r="H219" s="661">
        <v>0</v>
      </c>
      <c r="I219" s="176">
        <f t="shared" si="39"/>
        <v>0</v>
      </c>
      <c r="J219" s="347" t="s">
        <v>117</v>
      </c>
    </row>
    <row r="220" spans="1:10" s="44" customFormat="1" ht="144.6" customHeight="1" outlineLevel="1" x14ac:dyDescent="0.2">
      <c r="A220" s="572" t="s">
        <v>914</v>
      </c>
      <c r="B220" s="179" t="s">
        <v>909</v>
      </c>
      <c r="C220" s="179" t="s">
        <v>953</v>
      </c>
      <c r="D220" s="141" t="s">
        <v>0</v>
      </c>
      <c r="E220" s="420">
        <v>325</v>
      </c>
      <c r="F220" s="660">
        <v>0</v>
      </c>
      <c r="G220" s="661">
        <v>0</v>
      </c>
      <c r="H220" s="661">
        <v>0</v>
      </c>
      <c r="I220" s="176">
        <f t="shared" si="39"/>
        <v>0</v>
      </c>
      <c r="J220" s="347" t="s">
        <v>117</v>
      </c>
    </row>
    <row r="221" spans="1:10" s="44" customFormat="1" ht="141" customHeight="1" outlineLevel="1" x14ac:dyDescent="0.2">
      <c r="A221" s="572" t="s">
        <v>915</v>
      </c>
      <c r="B221" s="183" t="s">
        <v>976</v>
      </c>
      <c r="C221" s="165" t="s">
        <v>1002</v>
      </c>
      <c r="D221" s="163" t="s">
        <v>0</v>
      </c>
      <c r="E221" s="302">
        <v>490</v>
      </c>
      <c r="F221" s="660">
        <v>0</v>
      </c>
      <c r="G221" s="661">
        <v>0</v>
      </c>
      <c r="H221" s="661">
        <v>0</v>
      </c>
      <c r="I221" s="176">
        <f t="shared" si="39"/>
        <v>0</v>
      </c>
      <c r="J221" s="339" t="s">
        <v>117</v>
      </c>
    </row>
    <row r="222" spans="1:10" s="44" customFormat="1" ht="80.45" customHeight="1" outlineLevel="1" x14ac:dyDescent="0.2">
      <c r="A222" s="572" t="s">
        <v>916</v>
      </c>
      <c r="B222" s="183" t="s">
        <v>384</v>
      </c>
      <c r="C222" s="165" t="s">
        <v>1003</v>
      </c>
      <c r="D222" s="163" t="s">
        <v>0</v>
      </c>
      <c r="E222" s="302">
        <v>290</v>
      </c>
      <c r="F222" s="660">
        <v>0</v>
      </c>
      <c r="G222" s="661">
        <v>0</v>
      </c>
      <c r="H222" s="661">
        <v>0</v>
      </c>
      <c r="I222" s="176">
        <f t="shared" si="39"/>
        <v>0</v>
      </c>
      <c r="J222" s="339" t="s">
        <v>117</v>
      </c>
    </row>
    <row r="223" spans="1:10" s="44" customFormat="1" ht="57" customHeight="1" outlineLevel="1" x14ac:dyDescent="0.2">
      <c r="A223" s="572" t="s">
        <v>917</v>
      </c>
      <c r="B223" s="183" t="s">
        <v>1009</v>
      </c>
      <c r="C223" s="165" t="s">
        <v>1010</v>
      </c>
      <c r="D223" s="141" t="s">
        <v>33</v>
      </c>
      <c r="E223" s="171">
        <v>5</v>
      </c>
      <c r="F223" s="660">
        <v>0</v>
      </c>
      <c r="G223" s="661">
        <v>0</v>
      </c>
      <c r="H223" s="661">
        <v>0</v>
      </c>
      <c r="I223" s="176">
        <f t="shared" si="39"/>
        <v>0</v>
      </c>
      <c r="J223" s="347" t="s">
        <v>117</v>
      </c>
    </row>
    <row r="224" spans="1:10" s="44" customFormat="1" ht="68.45" customHeight="1" outlineLevel="1" x14ac:dyDescent="0.2">
      <c r="A224" s="572" t="s">
        <v>918</v>
      </c>
      <c r="B224" s="179" t="s">
        <v>1012</v>
      </c>
      <c r="C224" s="179" t="s">
        <v>572</v>
      </c>
      <c r="D224" s="141" t="s">
        <v>33</v>
      </c>
      <c r="E224" s="171">
        <v>5</v>
      </c>
      <c r="F224" s="660">
        <v>0</v>
      </c>
      <c r="G224" s="661">
        <v>0</v>
      </c>
      <c r="H224" s="661">
        <v>0</v>
      </c>
      <c r="I224" s="176">
        <f t="shared" si="39"/>
        <v>0</v>
      </c>
      <c r="J224" s="347" t="s">
        <v>117</v>
      </c>
    </row>
    <row r="225" spans="1:10" s="44" customFormat="1" ht="81.2" customHeight="1" outlineLevel="1" x14ac:dyDescent="0.2">
      <c r="A225" s="572" t="s">
        <v>919</v>
      </c>
      <c r="B225" s="183" t="s">
        <v>1018</v>
      </c>
      <c r="C225" s="165" t="s">
        <v>1014</v>
      </c>
      <c r="D225" s="163" t="s">
        <v>0</v>
      </c>
      <c r="E225" s="302">
        <v>150</v>
      </c>
      <c r="F225" s="660">
        <v>0</v>
      </c>
      <c r="G225" s="661">
        <v>0</v>
      </c>
      <c r="H225" s="661">
        <v>0</v>
      </c>
      <c r="I225" s="176">
        <f t="shared" si="39"/>
        <v>0</v>
      </c>
      <c r="J225" s="347" t="s">
        <v>117</v>
      </c>
    </row>
    <row r="226" spans="1:10" s="44" customFormat="1" ht="94.9" customHeight="1" outlineLevel="1" x14ac:dyDescent="0.2">
      <c r="A226" s="572" t="s">
        <v>920</v>
      </c>
      <c r="B226" s="183" t="s">
        <v>1015</v>
      </c>
      <c r="C226" s="165" t="s">
        <v>1016</v>
      </c>
      <c r="D226" s="163" t="s">
        <v>16</v>
      </c>
      <c r="E226" s="302">
        <v>230</v>
      </c>
      <c r="F226" s="660">
        <v>0</v>
      </c>
      <c r="G226" s="661">
        <v>0</v>
      </c>
      <c r="H226" s="661">
        <v>0</v>
      </c>
      <c r="I226" s="176">
        <f t="shared" si="39"/>
        <v>0</v>
      </c>
      <c r="J226" s="347" t="s">
        <v>117</v>
      </c>
    </row>
    <row r="227" spans="1:10" s="44" customFormat="1" ht="40.15" customHeight="1" outlineLevel="1" x14ac:dyDescent="0.2">
      <c r="A227" s="572" t="s">
        <v>921</v>
      </c>
      <c r="B227" s="183" t="s">
        <v>1019</v>
      </c>
      <c r="C227" s="165" t="s">
        <v>573</v>
      </c>
      <c r="D227" s="142" t="s">
        <v>18</v>
      </c>
      <c r="E227" s="171">
        <v>2</v>
      </c>
      <c r="F227" s="660">
        <v>0</v>
      </c>
      <c r="G227" s="661">
        <v>0</v>
      </c>
      <c r="H227" s="661">
        <v>0</v>
      </c>
      <c r="I227" s="176">
        <f t="shared" si="39"/>
        <v>0</v>
      </c>
      <c r="J227" s="347" t="s">
        <v>117</v>
      </c>
    </row>
    <row r="228" spans="1:10" s="44" customFormat="1" ht="40.700000000000003" customHeight="1" outlineLevel="1" x14ac:dyDescent="0.2">
      <c r="A228" s="572" t="s">
        <v>922</v>
      </c>
      <c r="B228" s="179" t="s">
        <v>241</v>
      </c>
      <c r="C228" s="165" t="s">
        <v>574</v>
      </c>
      <c r="D228" s="141" t="s">
        <v>33</v>
      </c>
      <c r="E228" s="171">
        <v>5</v>
      </c>
      <c r="F228" s="660">
        <v>0</v>
      </c>
      <c r="G228" s="661">
        <v>0</v>
      </c>
      <c r="H228" s="661">
        <v>0</v>
      </c>
      <c r="I228" s="176">
        <f t="shared" si="39"/>
        <v>0</v>
      </c>
      <c r="J228" s="347" t="s">
        <v>117</v>
      </c>
    </row>
    <row r="229" spans="1:10" s="44" customFormat="1" ht="22.5" customHeight="1" x14ac:dyDescent="0.2">
      <c r="A229" s="235" t="s">
        <v>112</v>
      </c>
      <c r="B229" s="697" t="s">
        <v>520</v>
      </c>
      <c r="C229" s="697"/>
      <c r="D229" s="244"/>
      <c r="E229" s="618"/>
      <c r="F229" s="239"/>
      <c r="G229" s="239"/>
      <c r="H229" s="239"/>
      <c r="I229" s="322"/>
      <c r="J229" s="356"/>
    </row>
    <row r="230" spans="1:10" s="134" customFormat="1" ht="38.450000000000003" customHeight="1" x14ac:dyDescent="0.2">
      <c r="A230" s="235" t="s">
        <v>924</v>
      </c>
      <c r="B230" s="697" t="s">
        <v>637</v>
      </c>
      <c r="C230" s="697"/>
      <c r="D230" s="243"/>
      <c r="E230" s="243"/>
      <c r="F230" s="160"/>
      <c r="G230" s="160"/>
      <c r="H230" s="245"/>
      <c r="I230" s="162">
        <f>SUM(I231:I241)</f>
        <v>0</v>
      </c>
      <c r="J230" s="339"/>
    </row>
    <row r="231" spans="1:10" s="134" customFormat="1" ht="81.599999999999994" customHeight="1" outlineLevel="1" x14ac:dyDescent="0.2">
      <c r="A231" s="413" t="s">
        <v>925</v>
      </c>
      <c r="B231" s="292" t="s">
        <v>659</v>
      </c>
      <c r="C231" s="292" t="s">
        <v>1026</v>
      </c>
      <c r="D231" s="191" t="s">
        <v>16</v>
      </c>
      <c r="E231" s="302">
        <v>30</v>
      </c>
      <c r="F231" s="649">
        <v>0</v>
      </c>
      <c r="G231" s="649">
        <v>0</v>
      </c>
      <c r="H231" s="662">
        <v>0</v>
      </c>
      <c r="I231" s="176">
        <f>SUM(F231:H231)*E231</f>
        <v>0</v>
      </c>
      <c r="J231" s="293" t="s">
        <v>603</v>
      </c>
    </row>
    <row r="232" spans="1:10" s="134" customFormat="1" ht="158.44999999999999" customHeight="1" outlineLevel="1" x14ac:dyDescent="0.2">
      <c r="A232" s="572" t="s">
        <v>926</v>
      </c>
      <c r="B232" s="165" t="s">
        <v>1027</v>
      </c>
      <c r="C232" s="165" t="s">
        <v>1028</v>
      </c>
      <c r="D232" s="163" t="s">
        <v>16</v>
      </c>
      <c r="E232" s="619">
        <v>80</v>
      </c>
      <c r="F232" s="649">
        <v>0</v>
      </c>
      <c r="G232" s="649">
        <v>0</v>
      </c>
      <c r="H232" s="662">
        <v>0</v>
      </c>
      <c r="I232" s="176">
        <f>SUM(F232:H232)*E232</f>
        <v>0</v>
      </c>
      <c r="J232" s="339" t="s">
        <v>117</v>
      </c>
    </row>
    <row r="233" spans="1:10" s="134" customFormat="1" ht="140.25" outlineLevel="1" x14ac:dyDescent="0.2">
      <c r="A233" s="572" t="s">
        <v>927</v>
      </c>
      <c r="B233" s="216" t="s">
        <v>1029</v>
      </c>
      <c r="C233" s="217" t="s">
        <v>1030</v>
      </c>
      <c r="D233" s="189" t="s">
        <v>16</v>
      </c>
      <c r="E233" s="318">
        <v>55</v>
      </c>
      <c r="F233" s="649">
        <v>0</v>
      </c>
      <c r="G233" s="649">
        <v>0</v>
      </c>
      <c r="H233" s="662">
        <v>0</v>
      </c>
      <c r="I233" s="176">
        <f t="shared" ref="I233:I236" si="40">SUM(F233:H233)*E233</f>
        <v>0</v>
      </c>
      <c r="J233" s="293" t="s">
        <v>116</v>
      </c>
    </row>
    <row r="234" spans="1:10" s="134" customFormat="1" ht="95.65" customHeight="1" outlineLevel="1" x14ac:dyDescent="0.2">
      <c r="A234" s="572" t="s">
        <v>928</v>
      </c>
      <c r="B234" s="401" t="s">
        <v>1031</v>
      </c>
      <c r="C234" s="137" t="s">
        <v>575</v>
      </c>
      <c r="D234" s="190" t="s">
        <v>18</v>
      </c>
      <c r="E234" s="515">
        <v>1</v>
      </c>
      <c r="F234" s="649">
        <v>0</v>
      </c>
      <c r="G234" s="649">
        <v>0</v>
      </c>
      <c r="H234" s="662">
        <v>0</v>
      </c>
      <c r="I234" s="176">
        <f t="shared" si="40"/>
        <v>0</v>
      </c>
      <c r="J234" s="357" t="s">
        <v>601</v>
      </c>
    </row>
    <row r="235" spans="1:10" s="134" customFormat="1" ht="198.6" customHeight="1" outlineLevel="1" x14ac:dyDescent="0.2">
      <c r="A235" s="572" t="s">
        <v>929</v>
      </c>
      <c r="B235" s="401" t="s">
        <v>1013</v>
      </c>
      <c r="C235" s="401" t="s">
        <v>1032</v>
      </c>
      <c r="D235" s="166" t="s">
        <v>67</v>
      </c>
      <c r="E235" s="302">
        <v>1</v>
      </c>
      <c r="F235" s="649">
        <v>0</v>
      </c>
      <c r="G235" s="649">
        <v>0</v>
      </c>
      <c r="H235" s="662">
        <v>0</v>
      </c>
      <c r="I235" s="176">
        <f>SUM(F235:H235)*E235</f>
        <v>0</v>
      </c>
      <c r="J235" s="356" t="s">
        <v>117</v>
      </c>
    </row>
    <row r="236" spans="1:10" s="134" customFormat="1" ht="159.6" customHeight="1" outlineLevel="1" x14ac:dyDescent="0.2">
      <c r="A236" s="572" t="s">
        <v>930</v>
      </c>
      <c r="B236" s="599" t="s">
        <v>1033</v>
      </c>
      <c r="C236" s="599" t="s">
        <v>1034</v>
      </c>
      <c r="D236" s="186" t="s">
        <v>16</v>
      </c>
      <c r="E236" s="620">
        <v>94</v>
      </c>
      <c r="F236" s="649">
        <v>0</v>
      </c>
      <c r="G236" s="649">
        <v>0</v>
      </c>
      <c r="H236" s="662">
        <v>0</v>
      </c>
      <c r="I236" s="176">
        <f t="shared" si="40"/>
        <v>0</v>
      </c>
      <c r="J236" s="339" t="s">
        <v>117</v>
      </c>
    </row>
    <row r="237" spans="1:10" s="134" customFormat="1" ht="168" customHeight="1" outlineLevel="1" x14ac:dyDescent="0.2">
      <c r="A237" s="572" t="s">
        <v>931</v>
      </c>
      <c r="B237" s="401" t="s">
        <v>1035</v>
      </c>
      <c r="C237" s="599" t="s">
        <v>1036</v>
      </c>
      <c r="D237" s="166" t="s">
        <v>16</v>
      </c>
      <c r="E237" s="302">
        <v>27</v>
      </c>
      <c r="F237" s="649">
        <v>0</v>
      </c>
      <c r="G237" s="649">
        <v>0</v>
      </c>
      <c r="H237" s="662">
        <v>0</v>
      </c>
      <c r="I237" s="176">
        <f t="shared" ref="I237" si="41">SUM(F237:H237)*E237</f>
        <v>0</v>
      </c>
      <c r="J237" s="339" t="s">
        <v>117</v>
      </c>
    </row>
    <row r="238" spans="1:10" s="44" customFormat="1" ht="88.9" customHeight="1" outlineLevel="1" x14ac:dyDescent="0.2">
      <c r="A238" s="572" t="s">
        <v>932</v>
      </c>
      <c r="B238" s="402" t="s">
        <v>1037</v>
      </c>
      <c r="C238" s="406" t="s">
        <v>608</v>
      </c>
      <c r="D238" s="140" t="s">
        <v>18</v>
      </c>
      <c r="E238" s="621">
        <v>1</v>
      </c>
      <c r="F238" s="649">
        <v>0</v>
      </c>
      <c r="G238" s="649">
        <v>0</v>
      </c>
      <c r="H238" s="662">
        <v>0</v>
      </c>
      <c r="I238" s="176">
        <f>SUM(F238:H238)*E238</f>
        <v>0</v>
      </c>
      <c r="J238" s="339" t="s">
        <v>117</v>
      </c>
    </row>
    <row r="239" spans="1:10" s="44" customFormat="1" ht="113.65" customHeight="1" outlineLevel="1" x14ac:dyDescent="0.2">
      <c r="A239" s="572" t="s">
        <v>933</v>
      </c>
      <c r="B239" s="597" t="s">
        <v>609</v>
      </c>
      <c r="C239" s="598" t="s">
        <v>1038</v>
      </c>
      <c r="D239" s="167" t="s">
        <v>33</v>
      </c>
      <c r="E239" s="620">
        <v>1</v>
      </c>
      <c r="F239" s="649">
        <v>0</v>
      </c>
      <c r="G239" s="649">
        <v>0</v>
      </c>
      <c r="H239" s="662">
        <v>0</v>
      </c>
      <c r="I239" s="176">
        <f>SUM(F239:H239)*E239</f>
        <v>0</v>
      </c>
      <c r="J239" s="339" t="s">
        <v>117</v>
      </c>
    </row>
    <row r="240" spans="1:10" s="44" customFormat="1" ht="118.15" customHeight="1" outlineLevel="1" x14ac:dyDescent="0.2">
      <c r="A240" s="572" t="s">
        <v>934</v>
      </c>
      <c r="B240" s="251" t="s">
        <v>1039</v>
      </c>
      <c r="C240" s="596" t="s">
        <v>1040</v>
      </c>
      <c r="D240" s="187" t="s">
        <v>67</v>
      </c>
      <c r="E240" s="321">
        <v>2</v>
      </c>
      <c r="F240" s="649">
        <v>0</v>
      </c>
      <c r="G240" s="649">
        <v>0</v>
      </c>
      <c r="H240" s="662">
        <v>0</v>
      </c>
      <c r="I240" s="176">
        <f>SUM(F240:H240)*E240</f>
        <v>0</v>
      </c>
      <c r="J240" s="345" t="s">
        <v>166</v>
      </c>
    </row>
    <row r="241" spans="1:10" s="134" customFormat="1" ht="121.15" customHeight="1" outlineLevel="1" x14ac:dyDescent="0.2">
      <c r="A241" s="572" t="s">
        <v>935</v>
      </c>
      <c r="B241" s="251" t="s">
        <v>1041</v>
      </c>
      <c r="C241" s="596" t="s">
        <v>1042</v>
      </c>
      <c r="D241" s="187" t="s">
        <v>67</v>
      </c>
      <c r="E241" s="321">
        <v>2</v>
      </c>
      <c r="F241" s="649">
        <v>0</v>
      </c>
      <c r="G241" s="649">
        <v>0</v>
      </c>
      <c r="H241" s="662">
        <v>0</v>
      </c>
      <c r="I241" s="176">
        <f t="shared" ref="I241" si="42">SUM(F241:H241)*E241</f>
        <v>0</v>
      </c>
      <c r="J241" s="345" t="s">
        <v>167</v>
      </c>
    </row>
    <row r="242" spans="1:10" s="44" customFormat="1" ht="32.450000000000003" customHeight="1" x14ac:dyDescent="0.2">
      <c r="A242" s="561" t="s">
        <v>113</v>
      </c>
      <c r="B242" s="697" t="s">
        <v>519</v>
      </c>
      <c r="C242" s="697"/>
      <c r="D242" s="254"/>
      <c r="E242" s="238"/>
      <c r="F242" s="382"/>
      <c r="G242" s="382"/>
      <c r="H242" s="382"/>
      <c r="I242" s="164"/>
      <c r="J242" s="345"/>
    </row>
    <row r="243" spans="1:10" s="44" customFormat="1" ht="33" customHeight="1" x14ac:dyDescent="0.2">
      <c r="A243" s="561" t="s">
        <v>121</v>
      </c>
      <c r="B243" s="697" t="s">
        <v>466</v>
      </c>
      <c r="C243" s="697"/>
      <c r="D243" s="157"/>
      <c r="E243" s="243"/>
      <c r="F243" s="160"/>
      <c r="G243" s="160"/>
      <c r="H243" s="160"/>
      <c r="I243" s="162">
        <f>SUM(I244:I250)</f>
        <v>0</v>
      </c>
      <c r="J243" s="339"/>
    </row>
    <row r="244" spans="1:10" s="44" customFormat="1" ht="148.15" customHeight="1" outlineLevel="1" x14ac:dyDescent="0.2">
      <c r="A244" s="413" t="s">
        <v>459</v>
      </c>
      <c r="B244" s="407" t="s">
        <v>667</v>
      </c>
      <c r="C244" s="193" t="s">
        <v>746</v>
      </c>
      <c r="D244" s="170" t="s">
        <v>6</v>
      </c>
      <c r="E244" s="546">
        <f>65+335+95+35</f>
        <v>530</v>
      </c>
      <c r="F244" s="663">
        <v>0</v>
      </c>
      <c r="G244" s="663">
        <v>0</v>
      </c>
      <c r="H244" s="663">
        <v>0</v>
      </c>
      <c r="I244" s="176">
        <f t="shared" ref="I244" si="43">SUM(F244:H244)*E244</f>
        <v>0</v>
      </c>
      <c r="J244" s="339" t="s">
        <v>117</v>
      </c>
    </row>
    <row r="245" spans="1:10" s="44" customFormat="1" ht="44.45" customHeight="1" outlineLevel="1" x14ac:dyDescent="0.2">
      <c r="A245" s="572" t="s">
        <v>460</v>
      </c>
      <c r="B245" s="181" t="s">
        <v>161</v>
      </c>
      <c r="C245" s="205" t="s">
        <v>666</v>
      </c>
      <c r="D245" s="172" t="s">
        <v>22</v>
      </c>
      <c r="E245" s="511">
        <v>900</v>
      </c>
      <c r="F245" s="663">
        <v>0</v>
      </c>
      <c r="G245" s="663">
        <v>0</v>
      </c>
      <c r="H245" s="663">
        <v>0</v>
      </c>
      <c r="I245" s="323">
        <f t="shared" ref="I245:I250" si="44">SUM(F245:H245)*E245</f>
        <v>0</v>
      </c>
      <c r="J245" s="339" t="s">
        <v>117</v>
      </c>
    </row>
    <row r="246" spans="1:10" s="44" customFormat="1" ht="44.45" customHeight="1" outlineLevel="1" x14ac:dyDescent="0.2">
      <c r="A246" s="572" t="s">
        <v>461</v>
      </c>
      <c r="B246" s="206" t="s">
        <v>851</v>
      </c>
      <c r="C246" s="486" t="s">
        <v>782</v>
      </c>
      <c r="D246" s="159" t="s">
        <v>22</v>
      </c>
      <c r="E246" s="547">
        <f>200+900</f>
        <v>1100</v>
      </c>
      <c r="F246" s="663">
        <v>0</v>
      </c>
      <c r="G246" s="663">
        <v>0</v>
      </c>
      <c r="H246" s="663">
        <v>0</v>
      </c>
      <c r="I246" s="480">
        <f t="shared" si="44"/>
        <v>0</v>
      </c>
      <c r="J246" s="344" t="s">
        <v>117</v>
      </c>
    </row>
    <row r="247" spans="1:10" s="44" customFormat="1" ht="44.45" customHeight="1" outlineLevel="1" x14ac:dyDescent="0.2">
      <c r="A247" s="572" t="s">
        <v>462</v>
      </c>
      <c r="B247" s="206" t="s">
        <v>775</v>
      </c>
      <c r="C247" s="486" t="s">
        <v>785</v>
      </c>
      <c r="D247" s="159" t="s">
        <v>70</v>
      </c>
      <c r="E247" s="548">
        <v>1</v>
      </c>
      <c r="F247" s="663">
        <v>0</v>
      </c>
      <c r="G247" s="663">
        <v>0</v>
      </c>
      <c r="H247" s="663">
        <v>0</v>
      </c>
      <c r="I247" s="480">
        <f t="shared" si="44"/>
        <v>0</v>
      </c>
      <c r="J247" s="344" t="s">
        <v>117</v>
      </c>
    </row>
    <row r="248" spans="1:10" s="44" customFormat="1" ht="94.15" customHeight="1" outlineLevel="1" x14ac:dyDescent="0.2">
      <c r="A248" s="572" t="s">
        <v>463</v>
      </c>
      <c r="B248" s="481" t="s">
        <v>783</v>
      </c>
      <c r="C248" s="487" t="s">
        <v>784</v>
      </c>
      <c r="D248" s="482" t="s">
        <v>6</v>
      </c>
      <c r="E248" s="548">
        <v>60</v>
      </c>
      <c r="F248" s="663">
        <v>0</v>
      </c>
      <c r="G248" s="663">
        <v>0</v>
      </c>
      <c r="H248" s="663">
        <v>0</v>
      </c>
      <c r="I248" s="483">
        <f t="shared" ref="I248" si="45">SUM(F248:H248)*E248</f>
        <v>0</v>
      </c>
      <c r="J248" s="473" t="s">
        <v>117</v>
      </c>
    </row>
    <row r="249" spans="1:10" s="44" customFormat="1" ht="65.650000000000006" customHeight="1" outlineLevel="1" x14ac:dyDescent="0.2">
      <c r="A249" s="572" t="s">
        <v>464</v>
      </c>
      <c r="B249" s="408" t="s">
        <v>158</v>
      </c>
      <c r="C249" s="220" t="s">
        <v>853</v>
      </c>
      <c r="D249" s="194" t="s">
        <v>6</v>
      </c>
      <c r="E249" s="549">
        <f>E244+E122+E132-35</f>
        <v>954.7</v>
      </c>
      <c r="F249" s="663">
        <v>0</v>
      </c>
      <c r="G249" s="663">
        <v>0</v>
      </c>
      <c r="H249" s="663">
        <v>0</v>
      </c>
      <c r="I249" s="323">
        <f t="shared" si="44"/>
        <v>0</v>
      </c>
      <c r="J249" s="339" t="s">
        <v>117</v>
      </c>
    </row>
    <row r="250" spans="1:10" s="44" customFormat="1" ht="37.9" customHeight="1" outlineLevel="1" x14ac:dyDescent="0.2">
      <c r="A250" s="572" t="s">
        <v>465</v>
      </c>
      <c r="B250" s="392" t="s">
        <v>125</v>
      </c>
      <c r="C250" s="392" t="s">
        <v>126</v>
      </c>
      <c r="D250" s="195" t="s">
        <v>33</v>
      </c>
      <c r="E250" s="550">
        <v>10</v>
      </c>
      <c r="F250" s="663">
        <v>0</v>
      </c>
      <c r="G250" s="663">
        <v>0</v>
      </c>
      <c r="H250" s="663">
        <v>0</v>
      </c>
      <c r="I250" s="323">
        <f t="shared" si="44"/>
        <v>0</v>
      </c>
      <c r="J250" s="339" t="s">
        <v>117</v>
      </c>
    </row>
    <row r="251" spans="1:10" s="44" customFormat="1" ht="33" customHeight="1" x14ac:dyDescent="0.2">
      <c r="A251" s="233" t="s">
        <v>937</v>
      </c>
      <c r="B251" s="710" t="s">
        <v>527</v>
      </c>
      <c r="C251" s="710"/>
      <c r="D251" s="157"/>
      <c r="E251" s="243"/>
      <c r="F251" s="160"/>
      <c r="G251" s="160"/>
      <c r="H251" s="160"/>
      <c r="I251" s="162">
        <f>SUM(I252:I255)</f>
        <v>0</v>
      </c>
      <c r="J251" s="339"/>
    </row>
    <row r="252" spans="1:10" s="44" customFormat="1" ht="102.75" customHeight="1" outlineLevel="1" x14ac:dyDescent="0.2">
      <c r="A252" s="414" t="s">
        <v>939</v>
      </c>
      <c r="B252" s="183" t="s">
        <v>665</v>
      </c>
      <c r="C252" s="406" t="s">
        <v>660</v>
      </c>
      <c r="D252" s="166" t="s">
        <v>22</v>
      </c>
      <c r="E252" s="302">
        <v>300</v>
      </c>
      <c r="F252" s="664">
        <v>0</v>
      </c>
      <c r="G252" s="665">
        <v>0</v>
      </c>
      <c r="H252" s="664">
        <v>0</v>
      </c>
      <c r="I252" s="176">
        <f>SUM(F252:H252)*E252</f>
        <v>0</v>
      </c>
      <c r="J252" s="339" t="s">
        <v>117</v>
      </c>
    </row>
    <row r="253" spans="1:10" s="44" customFormat="1" ht="30" customHeight="1" outlineLevel="1" x14ac:dyDescent="0.2">
      <c r="A253" s="572" t="s">
        <v>940</v>
      </c>
      <c r="B253" s="402" t="s">
        <v>529</v>
      </c>
      <c r="C253" s="406" t="s">
        <v>663</v>
      </c>
      <c r="D253" s="56" t="s">
        <v>6</v>
      </c>
      <c r="E253" s="302">
        <f>E252*0.05</f>
        <v>15</v>
      </c>
      <c r="F253" s="664">
        <v>0</v>
      </c>
      <c r="G253" s="665">
        <v>0</v>
      </c>
      <c r="H253" s="664">
        <v>0</v>
      </c>
      <c r="I253" s="176">
        <f>SUM(F253:H253)*E253</f>
        <v>0</v>
      </c>
      <c r="J253" s="339" t="s">
        <v>117</v>
      </c>
    </row>
    <row r="254" spans="1:10" s="44" customFormat="1" ht="26.25" customHeight="1" outlineLevel="1" x14ac:dyDescent="0.2">
      <c r="A254" s="572" t="s">
        <v>941</v>
      </c>
      <c r="B254" s="183" t="s">
        <v>530</v>
      </c>
      <c r="C254" s="183" t="s">
        <v>664</v>
      </c>
      <c r="D254" s="196" t="s">
        <v>553</v>
      </c>
      <c r="E254" s="302">
        <f>E252</f>
        <v>300</v>
      </c>
      <c r="F254" s="664">
        <v>0</v>
      </c>
      <c r="G254" s="665">
        <v>0</v>
      </c>
      <c r="H254" s="664">
        <v>0</v>
      </c>
      <c r="I254" s="176">
        <f>SUM(F254:H254)*E254</f>
        <v>0</v>
      </c>
      <c r="J254" s="339" t="s">
        <v>117</v>
      </c>
    </row>
    <row r="255" spans="1:10" s="44" customFormat="1" ht="26.25" customHeight="1" outlineLevel="1" x14ac:dyDescent="0.2">
      <c r="A255" s="572" t="s">
        <v>942</v>
      </c>
      <c r="B255" s="402" t="s">
        <v>528</v>
      </c>
      <c r="C255" s="406" t="s">
        <v>661</v>
      </c>
      <c r="D255" s="196" t="s">
        <v>553</v>
      </c>
      <c r="E255" s="302">
        <f>E252</f>
        <v>300</v>
      </c>
      <c r="F255" s="664">
        <v>0</v>
      </c>
      <c r="G255" s="665">
        <v>0</v>
      </c>
      <c r="H255" s="664">
        <v>0</v>
      </c>
      <c r="I255" s="176">
        <f>SUM(F255:H255)*E255</f>
        <v>0</v>
      </c>
      <c r="J255" s="339" t="s">
        <v>117</v>
      </c>
    </row>
    <row r="256" spans="1:10" s="44" customFormat="1" ht="49.15" customHeight="1" x14ac:dyDescent="0.2">
      <c r="A256" s="233" t="s">
        <v>943</v>
      </c>
      <c r="B256" s="563" t="s">
        <v>952</v>
      </c>
      <c r="C256" s="247">
        <v>200</v>
      </c>
      <c r="D256" s="157"/>
      <c r="E256" s="324"/>
      <c r="F256" s="160"/>
      <c r="G256" s="160"/>
      <c r="H256" s="294">
        <f>I256/C256</f>
        <v>0</v>
      </c>
      <c r="I256" s="162">
        <f>SUM(I257:I261)</f>
        <v>0</v>
      </c>
      <c r="J256" s="339"/>
    </row>
    <row r="257" spans="1:10" s="44" customFormat="1" ht="60.2" customHeight="1" outlineLevel="1" x14ac:dyDescent="0.2">
      <c r="A257" s="413" t="s">
        <v>944</v>
      </c>
      <c r="B257" s="181" t="s">
        <v>951</v>
      </c>
      <c r="C257" s="392" t="s">
        <v>652</v>
      </c>
      <c r="D257" s="172" t="s">
        <v>16</v>
      </c>
      <c r="E257" s="551">
        <v>75</v>
      </c>
      <c r="F257" s="666">
        <v>0</v>
      </c>
      <c r="G257" s="667">
        <v>0</v>
      </c>
      <c r="H257" s="667">
        <v>0</v>
      </c>
      <c r="I257" s="176">
        <f>SUM(F257:H257)*E257</f>
        <v>0</v>
      </c>
      <c r="J257" s="339" t="s">
        <v>117</v>
      </c>
    </row>
    <row r="258" spans="1:10" s="44" customFormat="1" ht="28.15" customHeight="1" outlineLevel="1" x14ac:dyDescent="0.2">
      <c r="A258" s="572" t="s">
        <v>945</v>
      </c>
      <c r="B258" s="390" t="s">
        <v>192</v>
      </c>
      <c r="C258" s="392" t="s">
        <v>744</v>
      </c>
      <c r="D258" s="192" t="s">
        <v>6</v>
      </c>
      <c r="E258" s="552">
        <f>C256*0.15</f>
        <v>30</v>
      </c>
      <c r="F258" s="666">
        <v>0</v>
      </c>
      <c r="G258" s="667">
        <v>0</v>
      </c>
      <c r="H258" s="667">
        <v>0</v>
      </c>
      <c r="I258" s="176">
        <f t="shared" ref="I258:I259" si="46">SUM(F258:H258)*E258</f>
        <v>0</v>
      </c>
      <c r="J258" s="339" t="s">
        <v>117</v>
      </c>
    </row>
    <row r="259" spans="1:10" s="44" customFormat="1" ht="28.15" customHeight="1" outlineLevel="1" x14ac:dyDescent="0.2">
      <c r="A259" s="572" t="s">
        <v>946</v>
      </c>
      <c r="B259" s="390" t="s">
        <v>856</v>
      </c>
      <c r="C259" s="392" t="s">
        <v>744</v>
      </c>
      <c r="D259" s="172" t="s">
        <v>6</v>
      </c>
      <c r="E259" s="551">
        <f>C256*0.3</f>
        <v>60</v>
      </c>
      <c r="F259" s="666">
        <v>0</v>
      </c>
      <c r="G259" s="667">
        <v>0</v>
      </c>
      <c r="H259" s="667">
        <v>0</v>
      </c>
      <c r="I259" s="176">
        <f t="shared" si="46"/>
        <v>0</v>
      </c>
      <c r="J259" s="339" t="s">
        <v>117</v>
      </c>
    </row>
    <row r="260" spans="1:10" s="44" customFormat="1" ht="42.6" customHeight="1" outlineLevel="1" x14ac:dyDescent="0.2">
      <c r="A260" s="572" t="s">
        <v>947</v>
      </c>
      <c r="B260" s="390" t="s">
        <v>76</v>
      </c>
      <c r="C260" s="358" t="s">
        <v>744</v>
      </c>
      <c r="D260" s="170" t="s">
        <v>576</v>
      </c>
      <c r="E260" s="551">
        <f>C256</f>
        <v>200</v>
      </c>
      <c r="F260" s="666">
        <v>0</v>
      </c>
      <c r="G260" s="667">
        <v>0</v>
      </c>
      <c r="H260" s="667">
        <v>0</v>
      </c>
      <c r="I260" s="176">
        <f>SUM(F260:H260)*E260</f>
        <v>0</v>
      </c>
      <c r="J260" s="339" t="s">
        <v>117</v>
      </c>
    </row>
    <row r="261" spans="1:10" s="44" customFormat="1" ht="39.4" customHeight="1" outlineLevel="1" x14ac:dyDescent="0.2">
      <c r="A261" s="572" t="s">
        <v>948</v>
      </c>
      <c r="B261" s="400" t="s">
        <v>129</v>
      </c>
      <c r="C261" s="358" t="s">
        <v>744</v>
      </c>
      <c r="D261" s="170" t="s">
        <v>576</v>
      </c>
      <c r="E261" s="551">
        <f>C256</f>
        <v>200</v>
      </c>
      <c r="F261" s="666">
        <v>0</v>
      </c>
      <c r="G261" s="667">
        <v>0</v>
      </c>
      <c r="H261" s="667">
        <v>0</v>
      </c>
      <c r="I261" s="176">
        <f t="shared" ref="I261" si="47">SUM(F261:H261)*E261</f>
        <v>0</v>
      </c>
      <c r="J261" s="339" t="s">
        <v>117</v>
      </c>
    </row>
    <row r="262" spans="1:10" s="44" customFormat="1" ht="44.45" customHeight="1" x14ac:dyDescent="0.2">
      <c r="A262" s="233" t="s">
        <v>950</v>
      </c>
      <c r="B262" s="563" t="s">
        <v>645</v>
      </c>
      <c r="C262" s="247">
        <v>900</v>
      </c>
      <c r="D262" s="157"/>
      <c r="E262" s="243"/>
      <c r="F262" s="160"/>
      <c r="G262" s="160"/>
      <c r="H262" s="325">
        <f>I262/C262</f>
        <v>0</v>
      </c>
      <c r="I262" s="162">
        <f>SUM(I263:I270)</f>
        <v>0</v>
      </c>
      <c r="J262" s="339"/>
    </row>
    <row r="263" spans="1:10" s="44" customFormat="1" ht="34.9" customHeight="1" outlineLevel="1" x14ac:dyDescent="0.2">
      <c r="A263" s="224" t="s">
        <v>954</v>
      </c>
      <c r="B263" s="390" t="s">
        <v>577</v>
      </c>
      <c r="C263" s="392" t="s">
        <v>640</v>
      </c>
      <c r="D263" s="172" t="s">
        <v>6</v>
      </c>
      <c r="E263" s="302">
        <f>C262*0.15</f>
        <v>135</v>
      </c>
      <c r="F263" s="668">
        <f>F258</f>
        <v>0</v>
      </c>
      <c r="G263" s="663">
        <v>0</v>
      </c>
      <c r="H263" s="667">
        <v>0</v>
      </c>
      <c r="I263" s="176">
        <f>SUM(F263:H263)*E263</f>
        <v>0</v>
      </c>
      <c r="J263" s="339" t="s">
        <v>117</v>
      </c>
    </row>
    <row r="264" spans="1:10" s="44" customFormat="1" ht="34.35" customHeight="1" outlineLevel="1" x14ac:dyDescent="0.2">
      <c r="A264" s="571" t="s">
        <v>956</v>
      </c>
      <c r="B264" s="390" t="s">
        <v>578</v>
      </c>
      <c r="C264" s="392" t="s">
        <v>640</v>
      </c>
      <c r="D264" s="172" t="s">
        <v>6</v>
      </c>
      <c r="E264" s="302">
        <f>C262*0.15</f>
        <v>135</v>
      </c>
      <c r="F264" s="668">
        <f t="shared" ref="F264:F270" si="48">F259</f>
        <v>0</v>
      </c>
      <c r="G264" s="663">
        <v>0</v>
      </c>
      <c r="H264" s="667">
        <v>0</v>
      </c>
      <c r="I264" s="176">
        <f t="shared" ref="I264:I266" si="49">SUM(F264:H264)*E264</f>
        <v>0</v>
      </c>
      <c r="J264" s="339" t="s">
        <v>117</v>
      </c>
    </row>
    <row r="265" spans="1:10" s="44" customFormat="1" ht="31.9" customHeight="1" outlineLevel="1" x14ac:dyDescent="0.2">
      <c r="A265" s="571" t="s">
        <v>957</v>
      </c>
      <c r="B265" s="394" t="s">
        <v>157</v>
      </c>
      <c r="C265" s="392" t="s">
        <v>640</v>
      </c>
      <c r="D265" s="197" t="s">
        <v>22</v>
      </c>
      <c r="E265" s="553">
        <f>C262</f>
        <v>900</v>
      </c>
      <c r="F265" s="668">
        <f t="shared" si="48"/>
        <v>0</v>
      </c>
      <c r="G265" s="663">
        <v>0</v>
      </c>
      <c r="H265" s="667">
        <v>0</v>
      </c>
      <c r="I265" s="303">
        <f t="shared" si="49"/>
        <v>0</v>
      </c>
      <c r="J265" s="352" t="s">
        <v>117</v>
      </c>
    </row>
    <row r="266" spans="1:10" s="44" customFormat="1" ht="28.9" customHeight="1" outlineLevel="1" x14ac:dyDescent="0.2">
      <c r="A266" s="571" t="s">
        <v>958</v>
      </c>
      <c r="B266" s="390" t="s">
        <v>728</v>
      </c>
      <c r="C266" s="392" t="s">
        <v>640</v>
      </c>
      <c r="D266" s="172" t="s">
        <v>6</v>
      </c>
      <c r="E266" s="302">
        <f>C262*0.15</f>
        <v>135</v>
      </c>
      <c r="F266" s="668">
        <f t="shared" si="48"/>
        <v>0</v>
      </c>
      <c r="G266" s="663">
        <v>0</v>
      </c>
      <c r="H266" s="667">
        <v>0</v>
      </c>
      <c r="I266" s="176">
        <f t="shared" si="49"/>
        <v>0</v>
      </c>
      <c r="J266" s="339" t="s">
        <v>117</v>
      </c>
    </row>
    <row r="267" spans="1:10" s="44" customFormat="1" ht="34.9" customHeight="1" outlineLevel="1" x14ac:dyDescent="0.2">
      <c r="A267" s="571" t="s">
        <v>959</v>
      </c>
      <c r="B267" s="395" t="s">
        <v>646</v>
      </c>
      <c r="C267" s="392" t="s">
        <v>776</v>
      </c>
      <c r="D267" s="172" t="s">
        <v>22</v>
      </c>
      <c r="E267" s="302">
        <v>200</v>
      </c>
      <c r="F267" s="668">
        <f t="shared" si="48"/>
        <v>0</v>
      </c>
      <c r="G267" s="663">
        <v>0</v>
      </c>
      <c r="H267" s="667">
        <v>0</v>
      </c>
      <c r="I267" s="311">
        <f t="shared" ref="I267" si="50">SUM(F267:H267)*E267</f>
        <v>0</v>
      </c>
      <c r="J267" s="339" t="s">
        <v>117</v>
      </c>
    </row>
    <row r="268" spans="1:10" s="44" customFormat="1" ht="36" customHeight="1" outlineLevel="1" x14ac:dyDescent="0.2">
      <c r="A268" s="571" t="s">
        <v>960</v>
      </c>
      <c r="B268" s="390" t="s">
        <v>124</v>
      </c>
      <c r="C268" s="392" t="s">
        <v>640</v>
      </c>
      <c r="D268" s="172" t="s">
        <v>6</v>
      </c>
      <c r="E268" s="302">
        <f>C262*0.04</f>
        <v>36</v>
      </c>
      <c r="F268" s="668">
        <f t="shared" si="48"/>
        <v>0</v>
      </c>
      <c r="G268" s="663">
        <v>0</v>
      </c>
      <c r="H268" s="667">
        <v>0</v>
      </c>
      <c r="I268" s="176">
        <f t="shared" ref="I268:I270" si="51">SUM(F268:H268)*E268</f>
        <v>0</v>
      </c>
      <c r="J268" s="339" t="s">
        <v>117</v>
      </c>
    </row>
    <row r="269" spans="1:10" s="44" customFormat="1" ht="48.4" customHeight="1" outlineLevel="1" x14ac:dyDescent="0.2">
      <c r="A269" s="571" t="s">
        <v>961</v>
      </c>
      <c r="B269" s="390" t="s">
        <v>579</v>
      </c>
      <c r="C269" s="392" t="s">
        <v>641</v>
      </c>
      <c r="D269" s="172" t="s">
        <v>22</v>
      </c>
      <c r="E269" s="302">
        <f>C262</f>
        <v>900</v>
      </c>
      <c r="F269" s="668">
        <f t="shared" si="48"/>
        <v>0</v>
      </c>
      <c r="G269" s="663">
        <v>0</v>
      </c>
      <c r="H269" s="667">
        <v>0</v>
      </c>
      <c r="I269" s="176">
        <f t="shared" si="51"/>
        <v>0</v>
      </c>
      <c r="J269" s="339" t="s">
        <v>647</v>
      </c>
    </row>
    <row r="270" spans="1:10" s="44" customFormat="1" ht="31.15" customHeight="1" outlineLevel="1" x14ac:dyDescent="0.2">
      <c r="A270" s="571" t="s">
        <v>962</v>
      </c>
      <c r="B270" s="390" t="s">
        <v>122</v>
      </c>
      <c r="C270" s="392" t="s">
        <v>640</v>
      </c>
      <c r="D270" s="172" t="s">
        <v>553</v>
      </c>
      <c r="E270" s="302">
        <f>C262</f>
        <v>900</v>
      </c>
      <c r="F270" s="668">
        <f t="shared" si="48"/>
        <v>0</v>
      </c>
      <c r="G270" s="663">
        <v>0</v>
      </c>
      <c r="H270" s="667">
        <v>0</v>
      </c>
      <c r="I270" s="176">
        <f t="shared" si="51"/>
        <v>0</v>
      </c>
      <c r="J270" s="339" t="s">
        <v>117</v>
      </c>
    </row>
    <row r="271" spans="1:10" s="44" customFormat="1" ht="39" customHeight="1" x14ac:dyDescent="0.2">
      <c r="A271" s="233" t="s">
        <v>963</v>
      </c>
      <c r="B271" s="246" t="s">
        <v>648</v>
      </c>
      <c r="C271" s="247">
        <v>300</v>
      </c>
      <c r="D271" s="157"/>
      <c r="E271" s="243"/>
      <c r="F271" s="160"/>
      <c r="G271" s="160"/>
      <c r="H271" s="325">
        <f>I271/C271</f>
        <v>0</v>
      </c>
      <c r="I271" s="162">
        <f>SUM(I272:I277)</f>
        <v>0</v>
      </c>
      <c r="J271" s="339"/>
    </row>
    <row r="272" spans="1:10" s="44" customFormat="1" ht="31.9" customHeight="1" outlineLevel="1" x14ac:dyDescent="0.2">
      <c r="A272" s="413" t="s">
        <v>965</v>
      </c>
      <c r="B272" s="390" t="s">
        <v>193</v>
      </c>
      <c r="C272" s="392" t="s">
        <v>642</v>
      </c>
      <c r="D272" s="172" t="s">
        <v>6</v>
      </c>
      <c r="E272" s="302">
        <f>C271*0.1</f>
        <v>30</v>
      </c>
      <c r="F272" s="666">
        <f>F263</f>
        <v>0</v>
      </c>
      <c r="G272" s="663">
        <f>G263</f>
        <v>0</v>
      </c>
      <c r="H272" s="667">
        <v>0</v>
      </c>
      <c r="I272" s="176">
        <f>SUM(F272:H272)*E272</f>
        <v>0</v>
      </c>
      <c r="J272" s="339" t="s">
        <v>117</v>
      </c>
    </row>
    <row r="273" spans="1:10" s="44" customFormat="1" ht="27.6" customHeight="1" outlineLevel="1" x14ac:dyDescent="0.2">
      <c r="A273" s="413" t="s">
        <v>966</v>
      </c>
      <c r="B273" s="390" t="s">
        <v>127</v>
      </c>
      <c r="C273" s="392" t="s">
        <v>642</v>
      </c>
      <c r="D273" s="172" t="s">
        <v>6</v>
      </c>
      <c r="E273" s="302">
        <f>C271*0.12</f>
        <v>36</v>
      </c>
      <c r="F273" s="666">
        <f t="shared" ref="F273:G273" si="52">F264</f>
        <v>0</v>
      </c>
      <c r="G273" s="663">
        <f t="shared" si="52"/>
        <v>0</v>
      </c>
      <c r="H273" s="667">
        <v>0</v>
      </c>
      <c r="I273" s="176">
        <f t="shared" ref="I273:I277" si="53">SUM(F273:H273)*E273</f>
        <v>0</v>
      </c>
      <c r="J273" s="339" t="s">
        <v>117</v>
      </c>
    </row>
    <row r="274" spans="1:10" s="44" customFormat="1" ht="31.35" customHeight="1" outlineLevel="1" x14ac:dyDescent="0.2">
      <c r="A274" s="413" t="s">
        <v>967</v>
      </c>
      <c r="B274" s="390" t="s">
        <v>580</v>
      </c>
      <c r="C274" s="392" t="s">
        <v>642</v>
      </c>
      <c r="D274" s="172" t="s">
        <v>6</v>
      </c>
      <c r="E274" s="302">
        <f>C271*0.04</f>
        <v>12</v>
      </c>
      <c r="F274" s="666">
        <f t="shared" ref="F274:G274" si="54">F265</f>
        <v>0</v>
      </c>
      <c r="G274" s="663">
        <f t="shared" si="54"/>
        <v>0</v>
      </c>
      <c r="H274" s="667">
        <v>0</v>
      </c>
      <c r="I274" s="176">
        <f t="shared" si="53"/>
        <v>0</v>
      </c>
      <c r="J274" s="339" t="s">
        <v>117</v>
      </c>
    </row>
    <row r="275" spans="1:10" s="44" customFormat="1" ht="39.4" customHeight="1" outlineLevel="1" x14ac:dyDescent="0.2">
      <c r="A275" s="413" t="s">
        <v>968</v>
      </c>
      <c r="B275" s="390" t="s">
        <v>581</v>
      </c>
      <c r="C275" s="392" t="s">
        <v>643</v>
      </c>
      <c r="D275" s="172" t="s">
        <v>22</v>
      </c>
      <c r="E275" s="302">
        <f>C271-E276</f>
        <v>290</v>
      </c>
      <c r="F275" s="666">
        <f t="shared" ref="F275:G275" si="55">F266</f>
        <v>0</v>
      </c>
      <c r="G275" s="663">
        <f t="shared" si="55"/>
        <v>0</v>
      </c>
      <c r="H275" s="667">
        <v>0</v>
      </c>
      <c r="I275" s="176">
        <f t="shared" si="53"/>
        <v>0</v>
      </c>
      <c r="J275" s="339" t="s">
        <v>117</v>
      </c>
    </row>
    <row r="276" spans="1:10" s="44" customFormat="1" ht="28.9" customHeight="1" outlineLevel="1" x14ac:dyDescent="0.2">
      <c r="A276" s="413" t="s">
        <v>969</v>
      </c>
      <c r="B276" s="391" t="s">
        <v>244</v>
      </c>
      <c r="C276" s="393" t="s">
        <v>644</v>
      </c>
      <c r="D276" s="61" t="s">
        <v>22</v>
      </c>
      <c r="E276" s="511">
        <f>10</f>
        <v>10</v>
      </c>
      <c r="F276" s="666">
        <f t="shared" ref="F276:G276" si="56">F267</f>
        <v>0</v>
      </c>
      <c r="G276" s="663">
        <f t="shared" si="56"/>
        <v>0</v>
      </c>
      <c r="H276" s="667">
        <v>0</v>
      </c>
      <c r="I276" s="326">
        <f t="shared" si="53"/>
        <v>0</v>
      </c>
      <c r="J276" s="339" t="s">
        <v>117</v>
      </c>
    </row>
    <row r="277" spans="1:10" s="44" customFormat="1" ht="31.9" customHeight="1" outlineLevel="1" x14ac:dyDescent="0.2">
      <c r="A277" s="413" t="s">
        <v>970</v>
      </c>
      <c r="B277" s="390" t="s">
        <v>122</v>
      </c>
      <c r="C277" s="392" t="s">
        <v>642</v>
      </c>
      <c r="D277" s="172" t="s">
        <v>22</v>
      </c>
      <c r="E277" s="511">
        <f>C271</f>
        <v>300</v>
      </c>
      <c r="F277" s="666">
        <f t="shared" ref="F277:G277" si="57">F268</f>
        <v>0</v>
      </c>
      <c r="G277" s="663">
        <f t="shared" si="57"/>
        <v>0</v>
      </c>
      <c r="H277" s="667">
        <v>0</v>
      </c>
      <c r="I277" s="176">
        <f t="shared" si="53"/>
        <v>0</v>
      </c>
      <c r="J277" s="339" t="s">
        <v>117</v>
      </c>
    </row>
    <row r="278" spans="1:10" s="44" customFormat="1" ht="33" customHeight="1" x14ac:dyDescent="0.2">
      <c r="A278" s="233" t="s">
        <v>971</v>
      </c>
      <c r="B278" s="708" t="s">
        <v>521</v>
      </c>
      <c r="C278" s="709"/>
      <c r="D278" s="157"/>
      <c r="E278" s="243"/>
      <c r="F278" s="160"/>
      <c r="G278" s="160"/>
      <c r="H278" s="245"/>
      <c r="I278" s="162">
        <f>SUM(I279:I282)</f>
        <v>0</v>
      </c>
      <c r="J278" s="339"/>
    </row>
    <row r="279" spans="1:10" s="44" customFormat="1" ht="63.4" customHeight="1" outlineLevel="1" x14ac:dyDescent="0.2">
      <c r="A279" s="558" t="s">
        <v>972</v>
      </c>
      <c r="B279" s="389" t="s">
        <v>582</v>
      </c>
      <c r="C279" s="389" t="s">
        <v>734</v>
      </c>
      <c r="D279" s="182" t="s">
        <v>16</v>
      </c>
      <c r="E279" s="554">
        <v>270</v>
      </c>
      <c r="F279" s="668">
        <v>0</v>
      </c>
      <c r="G279" s="666">
        <v>0</v>
      </c>
      <c r="H279" s="666">
        <v>0</v>
      </c>
      <c r="I279" s="303">
        <f>SUM(F279:H279)*E279</f>
        <v>0</v>
      </c>
      <c r="J279" s="352" t="s">
        <v>117</v>
      </c>
    </row>
    <row r="280" spans="1:10" s="44" customFormat="1" ht="42" customHeight="1" outlineLevel="1" x14ac:dyDescent="0.2">
      <c r="A280" s="558" t="s">
        <v>973</v>
      </c>
      <c r="B280" s="390" t="s">
        <v>583</v>
      </c>
      <c r="C280" s="392" t="s">
        <v>649</v>
      </c>
      <c r="D280" s="198" t="s">
        <v>16</v>
      </c>
      <c r="E280" s="516">
        <v>200</v>
      </c>
      <c r="F280" s="668">
        <v>0</v>
      </c>
      <c r="G280" s="666">
        <v>0</v>
      </c>
      <c r="H280" s="666">
        <v>0</v>
      </c>
      <c r="I280" s="176">
        <f t="shared" ref="I280" si="58">SUM(F280:H280)*E280</f>
        <v>0</v>
      </c>
      <c r="J280" s="339" t="s">
        <v>117</v>
      </c>
    </row>
    <row r="281" spans="1:10" s="44" customFormat="1" ht="42" customHeight="1" outlineLevel="1" x14ac:dyDescent="0.2">
      <c r="A281" s="558" t="s">
        <v>974</v>
      </c>
      <c r="B281" s="231" t="s">
        <v>245</v>
      </c>
      <c r="C281" s="396" t="s">
        <v>650</v>
      </c>
      <c r="D281" s="141" t="s">
        <v>33</v>
      </c>
      <c r="E281" s="171">
        <v>10</v>
      </c>
      <c r="F281" s="668">
        <v>0</v>
      </c>
      <c r="G281" s="666">
        <v>0</v>
      </c>
      <c r="H281" s="666">
        <v>0</v>
      </c>
      <c r="I281" s="311">
        <f t="shared" ref="I281" si="59">SUM(F281:H281)*E281</f>
        <v>0</v>
      </c>
      <c r="J281" s="347" t="s">
        <v>117</v>
      </c>
    </row>
    <row r="282" spans="1:10" s="44" customFormat="1" ht="66.75" customHeight="1" outlineLevel="1" x14ac:dyDescent="0.2">
      <c r="A282" s="558" t="s">
        <v>975</v>
      </c>
      <c r="B282" s="168" t="s">
        <v>247</v>
      </c>
      <c r="C282" s="137" t="s">
        <v>246</v>
      </c>
      <c r="D282" s="56" t="s">
        <v>33</v>
      </c>
      <c r="E282" s="515">
        <v>1</v>
      </c>
      <c r="F282" s="668">
        <v>0</v>
      </c>
      <c r="G282" s="666">
        <v>0</v>
      </c>
      <c r="H282" s="666">
        <v>0</v>
      </c>
      <c r="I282" s="176">
        <f t="shared" ref="I282" si="60">SUM(F282:H282)*E282</f>
        <v>0</v>
      </c>
      <c r="J282" s="339" t="s">
        <v>117</v>
      </c>
    </row>
    <row r="283" spans="1:10" s="44" customFormat="1" ht="33" customHeight="1" x14ac:dyDescent="0.2">
      <c r="A283" s="233" t="s">
        <v>978</v>
      </c>
      <c r="B283" s="706" t="s">
        <v>522</v>
      </c>
      <c r="C283" s="707"/>
      <c r="D283" s="157"/>
      <c r="E283" s="243"/>
      <c r="F283" s="160"/>
      <c r="G283" s="160"/>
      <c r="H283" s="245"/>
      <c r="I283" s="162">
        <f>SUM(I284:I291)</f>
        <v>0</v>
      </c>
      <c r="J283" s="339"/>
    </row>
    <row r="284" spans="1:10" s="135" customFormat="1" ht="61.9" customHeight="1" outlineLevel="1" x14ac:dyDescent="0.2">
      <c r="A284" s="559" t="s">
        <v>979</v>
      </c>
      <c r="B284" s="398" t="s">
        <v>248</v>
      </c>
      <c r="C284" s="397" t="s">
        <v>863</v>
      </c>
      <c r="D284" s="199" t="s">
        <v>16</v>
      </c>
      <c r="E284" s="302">
        <v>40</v>
      </c>
      <c r="F284" s="644">
        <v>0</v>
      </c>
      <c r="G284" s="644">
        <v>0</v>
      </c>
      <c r="H284" s="644">
        <v>0</v>
      </c>
      <c r="I284" s="176">
        <f>SUM(F284:H284)*E284</f>
        <v>0</v>
      </c>
      <c r="J284" s="359" t="s">
        <v>117</v>
      </c>
    </row>
    <row r="285" spans="1:10" s="44" customFormat="1" ht="67.5" customHeight="1" outlineLevel="1" x14ac:dyDescent="0.2">
      <c r="A285" s="559" t="s">
        <v>980</v>
      </c>
      <c r="B285" s="231" t="s">
        <v>249</v>
      </c>
      <c r="C285" s="396" t="s">
        <v>786</v>
      </c>
      <c r="D285" s="232" t="s">
        <v>16</v>
      </c>
      <c r="E285" s="171">
        <v>125</v>
      </c>
      <c r="F285" s="644">
        <v>0</v>
      </c>
      <c r="G285" s="644">
        <v>0</v>
      </c>
      <c r="H285" s="644">
        <v>0</v>
      </c>
      <c r="I285" s="176">
        <f t="shared" ref="I285:I289" si="61">SUM(F285:H285)*E285</f>
        <v>0</v>
      </c>
      <c r="J285" s="347" t="s">
        <v>117</v>
      </c>
    </row>
    <row r="286" spans="1:10" s="44" customFormat="1" ht="73.900000000000006" customHeight="1" outlineLevel="1" x14ac:dyDescent="0.2">
      <c r="A286" s="559" t="s">
        <v>981</v>
      </c>
      <c r="B286" s="484" t="s">
        <v>787</v>
      </c>
      <c r="C286" s="488" t="s">
        <v>891</v>
      </c>
      <c r="D286" s="466" t="s">
        <v>16</v>
      </c>
      <c r="E286" s="555">
        <v>45</v>
      </c>
      <c r="F286" s="644">
        <v>0</v>
      </c>
      <c r="G286" s="644">
        <v>0</v>
      </c>
      <c r="H286" s="644">
        <v>0</v>
      </c>
      <c r="I286" s="479">
        <f>SUM(F286:H286)*E286</f>
        <v>0</v>
      </c>
      <c r="J286" s="355" t="s">
        <v>117</v>
      </c>
    </row>
    <row r="287" spans="1:10" s="44" customFormat="1" ht="80.45" customHeight="1" outlineLevel="1" x14ac:dyDescent="0.2">
      <c r="A287" s="559" t="s">
        <v>982</v>
      </c>
      <c r="B287" s="185" t="s">
        <v>584</v>
      </c>
      <c r="C287" s="398" t="s">
        <v>651</v>
      </c>
      <c r="D287" s="419" t="s">
        <v>16</v>
      </c>
      <c r="E287" s="555">
        <f>32.4</f>
        <v>32.4</v>
      </c>
      <c r="F287" s="644">
        <v>0</v>
      </c>
      <c r="G287" s="644">
        <v>0</v>
      </c>
      <c r="H287" s="644">
        <v>0</v>
      </c>
      <c r="I287" s="302">
        <f t="shared" si="61"/>
        <v>0</v>
      </c>
      <c r="J287" s="360" t="s">
        <v>117</v>
      </c>
    </row>
    <row r="288" spans="1:10" s="44" customFormat="1" ht="72" customHeight="1" outlineLevel="1" x14ac:dyDescent="0.2">
      <c r="A288" s="559" t="s">
        <v>983</v>
      </c>
      <c r="B288" s="409" t="s">
        <v>250</v>
      </c>
      <c r="C288" s="409" t="s">
        <v>668</v>
      </c>
      <c r="D288" s="141" t="s">
        <v>33</v>
      </c>
      <c r="E288" s="171">
        <v>2</v>
      </c>
      <c r="F288" s="644">
        <v>0</v>
      </c>
      <c r="G288" s="644">
        <v>0</v>
      </c>
      <c r="H288" s="644">
        <v>0</v>
      </c>
      <c r="I288" s="176">
        <f t="shared" si="61"/>
        <v>0</v>
      </c>
      <c r="J288" s="347" t="s">
        <v>117</v>
      </c>
    </row>
    <row r="289" spans="1:10" s="44" customFormat="1" ht="62.45" customHeight="1" outlineLevel="1" x14ac:dyDescent="0.2">
      <c r="A289" s="559" t="s">
        <v>984</v>
      </c>
      <c r="B289" s="179" t="s">
        <v>585</v>
      </c>
      <c r="C289" s="409" t="s">
        <v>586</v>
      </c>
      <c r="D289" s="141" t="s">
        <v>33</v>
      </c>
      <c r="E289" s="171">
        <v>2</v>
      </c>
      <c r="F289" s="644">
        <v>0</v>
      </c>
      <c r="G289" s="644">
        <v>0</v>
      </c>
      <c r="H289" s="644">
        <v>0</v>
      </c>
      <c r="I289" s="176">
        <f t="shared" si="61"/>
        <v>0</v>
      </c>
      <c r="J289" s="347" t="s">
        <v>117</v>
      </c>
    </row>
    <row r="290" spans="1:10" s="44" customFormat="1" ht="57.6" customHeight="1" outlineLevel="1" x14ac:dyDescent="0.2">
      <c r="A290" s="559" t="s">
        <v>985</v>
      </c>
      <c r="B290" s="208" t="s">
        <v>618</v>
      </c>
      <c r="C290" s="411" t="s">
        <v>617</v>
      </c>
      <c r="D290" s="56" t="s">
        <v>6</v>
      </c>
      <c r="E290" s="178">
        <v>2.5</v>
      </c>
      <c r="F290" s="644">
        <v>0</v>
      </c>
      <c r="G290" s="644">
        <v>0</v>
      </c>
      <c r="H290" s="644">
        <v>0</v>
      </c>
      <c r="I290" s="176">
        <f>SUM(F290:H290)*E290</f>
        <v>0</v>
      </c>
      <c r="J290" s="137" t="s">
        <v>117</v>
      </c>
    </row>
    <row r="291" spans="1:10" s="44" customFormat="1" ht="79.5" customHeight="1" outlineLevel="1" x14ac:dyDescent="0.2">
      <c r="A291" s="559" t="s">
        <v>986</v>
      </c>
      <c r="B291" s="399" t="s">
        <v>541</v>
      </c>
      <c r="C291" s="295" t="s">
        <v>629</v>
      </c>
      <c r="D291" s="199" t="s">
        <v>373</v>
      </c>
      <c r="E291" s="510">
        <v>7.36</v>
      </c>
      <c r="F291" s="644">
        <v>0</v>
      </c>
      <c r="G291" s="644">
        <v>0</v>
      </c>
      <c r="H291" s="644">
        <v>0</v>
      </c>
      <c r="I291" s="176">
        <f>SUM(F291:H291)*E291</f>
        <v>0</v>
      </c>
      <c r="J291" s="359" t="s">
        <v>117</v>
      </c>
    </row>
    <row r="292" spans="1:10" s="237" customFormat="1" ht="33" customHeight="1" x14ac:dyDescent="0.2">
      <c r="A292" s="235" t="s">
        <v>5</v>
      </c>
      <c r="B292" s="697" t="s">
        <v>132</v>
      </c>
      <c r="C292" s="713"/>
      <c r="D292" s="243"/>
      <c r="E292" s="243"/>
      <c r="F292" s="160"/>
      <c r="G292" s="160"/>
      <c r="H292" s="160"/>
      <c r="I292" s="162">
        <f>SUM(I293:I308)</f>
        <v>1775642.2960000001</v>
      </c>
      <c r="J292" s="361"/>
    </row>
    <row r="293" spans="1:10" s="44" customFormat="1" ht="55.9" customHeight="1" outlineLevel="1" x14ac:dyDescent="0.2">
      <c r="A293" s="225" t="s">
        <v>191</v>
      </c>
      <c r="B293" s="221" t="s">
        <v>587</v>
      </c>
      <c r="C293" s="221" t="s">
        <v>588</v>
      </c>
      <c r="D293" s="148" t="s">
        <v>2</v>
      </c>
      <c r="E293" s="152">
        <v>1</v>
      </c>
      <c r="F293" s="381">
        <v>400</v>
      </c>
      <c r="G293" s="381">
        <f>Сантехніка!E55</f>
        <v>611881.20000000007</v>
      </c>
      <c r="H293" s="381">
        <f>Сантехніка!F54</f>
        <v>48950.496000000006</v>
      </c>
      <c r="I293" s="327">
        <f t="shared" ref="I293" si="62">SUM(F293:H293)*E293</f>
        <v>661231.69600000011</v>
      </c>
      <c r="J293" s="355" t="s">
        <v>1043</v>
      </c>
    </row>
    <row r="294" spans="1:10" s="44" customFormat="1" ht="58.15" customHeight="1" outlineLevel="1" x14ac:dyDescent="0.2">
      <c r="A294" s="225" t="s">
        <v>987</v>
      </c>
      <c r="B294" s="222" t="s">
        <v>279</v>
      </c>
      <c r="C294" s="179" t="s">
        <v>589</v>
      </c>
      <c r="D294" s="141" t="s">
        <v>2</v>
      </c>
      <c r="E294" s="153">
        <v>1</v>
      </c>
      <c r="F294" s="188">
        <v>500</v>
      </c>
      <c r="G294" s="188">
        <f>Світлодіоди!F29</f>
        <v>80608.5</v>
      </c>
      <c r="H294" s="188">
        <f>Світлодіоди!F28</f>
        <v>6141.6</v>
      </c>
      <c r="I294" s="327">
        <f t="shared" ref="I294:I298" si="63">SUM(F294:H294)*E294</f>
        <v>87250.1</v>
      </c>
      <c r="J294" s="355" t="s">
        <v>1044</v>
      </c>
    </row>
    <row r="295" spans="1:10" s="44" customFormat="1" ht="61.15" customHeight="1" outlineLevel="1" x14ac:dyDescent="0.2">
      <c r="A295" s="225" t="s">
        <v>988</v>
      </c>
      <c r="B295" s="183" t="s">
        <v>590</v>
      </c>
      <c r="C295" s="165" t="s">
        <v>591</v>
      </c>
      <c r="D295" s="140" t="s">
        <v>18</v>
      </c>
      <c r="E295" s="515">
        <v>1</v>
      </c>
      <c r="F295" s="384">
        <v>500</v>
      </c>
      <c r="G295" s="383">
        <f>61585*1.3</f>
        <v>80060.5</v>
      </c>
      <c r="H295" s="383">
        <v>4000</v>
      </c>
      <c r="I295" s="327">
        <f t="shared" si="63"/>
        <v>84560.5</v>
      </c>
      <c r="J295" s="355" t="s">
        <v>1044</v>
      </c>
    </row>
    <row r="296" spans="1:10" s="44" customFormat="1" ht="63.6" customHeight="1" outlineLevel="1" x14ac:dyDescent="0.2">
      <c r="A296" s="225" t="s">
        <v>989</v>
      </c>
      <c r="B296" s="219" t="s">
        <v>846</v>
      </c>
      <c r="C296" s="218" t="s">
        <v>795</v>
      </c>
      <c r="D296" s="200" t="s">
        <v>18</v>
      </c>
      <c r="E296" s="516">
        <v>1</v>
      </c>
      <c r="F296" s="385">
        <v>500</v>
      </c>
      <c r="G296" s="385">
        <v>94350</v>
      </c>
      <c r="H296" s="385">
        <v>5000</v>
      </c>
      <c r="I296" s="327">
        <f t="shared" si="63"/>
        <v>99850</v>
      </c>
      <c r="J296" s="355" t="s">
        <v>1044</v>
      </c>
    </row>
    <row r="297" spans="1:10" s="44" customFormat="1" ht="141.4" customHeight="1" outlineLevel="1" x14ac:dyDescent="0.2">
      <c r="A297" s="225" t="s">
        <v>990</v>
      </c>
      <c r="B297" s="402" t="s">
        <v>592</v>
      </c>
      <c r="C297" s="183" t="s">
        <v>593</v>
      </c>
      <c r="D297" s="163" t="s">
        <v>67</v>
      </c>
      <c r="E297" s="302">
        <v>1</v>
      </c>
      <c r="F297" s="384">
        <v>500</v>
      </c>
      <c r="G297" s="59">
        <f>645000*1.05</f>
        <v>677250</v>
      </c>
      <c r="H297" s="386">
        <v>15000</v>
      </c>
      <c r="I297" s="327">
        <f t="shared" si="63"/>
        <v>692750</v>
      </c>
      <c r="J297" s="355" t="s">
        <v>1045</v>
      </c>
    </row>
    <row r="298" spans="1:10" s="44" customFormat="1" ht="128.44999999999999" customHeight="1" outlineLevel="1" x14ac:dyDescent="0.2">
      <c r="A298" s="225" t="s">
        <v>991</v>
      </c>
      <c r="B298" s="288" t="s">
        <v>594</v>
      </c>
      <c r="C298" s="289" t="s">
        <v>796</v>
      </c>
      <c r="D298" s="290" t="s">
        <v>2</v>
      </c>
      <c r="E298" s="301">
        <v>1</v>
      </c>
      <c r="F298" s="669">
        <v>0</v>
      </c>
      <c r="G298" s="669">
        <v>0</v>
      </c>
      <c r="H298" s="669">
        <v>0</v>
      </c>
      <c r="I298" s="404">
        <f t="shared" si="63"/>
        <v>0</v>
      </c>
      <c r="J298" s="405" t="s">
        <v>848</v>
      </c>
    </row>
    <row r="299" spans="1:10" s="44" customFormat="1" ht="33" customHeight="1" outlineLevel="1" x14ac:dyDescent="0.2">
      <c r="A299" s="225" t="s">
        <v>992</v>
      </c>
      <c r="B299" s="221" t="s">
        <v>251</v>
      </c>
      <c r="C299" s="221" t="s">
        <v>252</v>
      </c>
      <c r="D299" s="143" t="s">
        <v>2</v>
      </c>
      <c r="E299" s="152">
        <v>0</v>
      </c>
      <c r="F299" s="381">
        <v>3500</v>
      </c>
      <c r="G299" s="381">
        <v>340000</v>
      </c>
      <c r="H299" s="381">
        <v>49000</v>
      </c>
      <c r="I299" s="327">
        <f t="shared" ref="I299:I308" si="64">SUM(F299:H299)*E299</f>
        <v>0</v>
      </c>
      <c r="J299" s="623" t="s">
        <v>253</v>
      </c>
    </row>
    <row r="300" spans="1:10" s="44" customFormat="1" ht="32.450000000000003" customHeight="1" outlineLevel="1" x14ac:dyDescent="0.2">
      <c r="A300" s="225" t="s">
        <v>993</v>
      </c>
      <c r="B300" s="179" t="s">
        <v>254</v>
      </c>
      <c r="C300" s="222" t="s">
        <v>255</v>
      </c>
      <c r="D300" s="142" t="s">
        <v>2</v>
      </c>
      <c r="E300" s="153">
        <v>0</v>
      </c>
      <c r="F300" s="188">
        <v>20000</v>
      </c>
      <c r="G300" s="188">
        <v>95000</v>
      </c>
      <c r="H300" s="188">
        <v>5000</v>
      </c>
      <c r="I300" s="327">
        <f t="shared" si="64"/>
        <v>0</v>
      </c>
      <c r="J300" s="624" t="s">
        <v>253</v>
      </c>
    </row>
    <row r="301" spans="1:10" s="44" customFormat="1" ht="34.9" customHeight="1" outlineLevel="1" x14ac:dyDescent="0.2">
      <c r="A301" s="225" t="s">
        <v>994</v>
      </c>
      <c r="B301" s="179" t="s">
        <v>256</v>
      </c>
      <c r="C301" s="222" t="s">
        <v>255</v>
      </c>
      <c r="D301" s="142" t="s">
        <v>2</v>
      </c>
      <c r="E301" s="153">
        <v>0</v>
      </c>
      <c r="F301" s="188">
        <v>35000</v>
      </c>
      <c r="G301" s="188">
        <v>140000</v>
      </c>
      <c r="H301" s="188">
        <v>5000</v>
      </c>
      <c r="I301" s="327">
        <f t="shared" si="64"/>
        <v>0</v>
      </c>
      <c r="J301" s="624" t="s">
        <v>253</v>
      </c>
    </row>
    <row r="302" spans="1:10" s="44" customFormat="1" ht="33" customHeight="1" outlineLevel="1" x14ac:dyDescent="0.2">
      <c r="A302" s="225" t="s">
        <v>995</v>
      </c>
      <c r="B302" s="179" t="s">
        <v>257</v>
      </c>
      <c r="C302" s="179" t="s">
        <v>258</v>
      </c>
      <c r="D302" s="142" t="s">
        <v>2</v>
      </c>
      <c r="E302" s="153">
        <v>0</v>
      </c>
      <c r="F302" s="188">
        <v>7000</v>
      </c>
      <c r="G302" s="188">
        <v>60000</v>
      </c>
      <c r="H302" s="188">
        <v>3000</v>
      </c>
      <c r="I302" s="327">
        <f t="shared" si="64"/>
        <v>0</v>
      </c>
      <c r="J302" s="624" t="s">
        <v>253</v>
      </c>
    </row>
    <row r="303" spans="1:10" s="44" customFormat="1" ht="31.9" customHeight="1" outlineLevel="1" x14ac:dyDescent="0.2">
      <c r="A303" s="225" t="s">
        <v>996</v>
      </c>
      <c r="B303" s="179" t="s">
        <v>259</v>
      </c>
      <c r="C303" s="222" t="s">
        <v>255</v>
      </c>
      <c r="D303" s="142" t="s">
        <v>33</v>
      </c>
      <c r="E303" s="153">
        <v>0</v>
      </c>
      <c r="F303" s="188">
        <v>3000</v>
      </c>
      <c r="G303" s="188">
        <v>105000</v>
      </c>
      <c r="H303" s="188">
        <v>6000</v>
      </c>
      <c r="I303" s="327">
        <f t="shared" si="64"/>
        <v>0</v>
      </c>
      <c r="J303" s="624" t="s">
        <v>253</v>
      </c>
    </row>
    <row r="304" spans="1:10" s="44" customFormat="1" ht="34.9" customHeight="1" outlineLevel="1" x14ac:dyDescent="0.2">
      <c r="A304" s="225" t="s">
        <v>997</v>
      </c>
      <c r="B304" s="179" t="s">
        <v>260</v>
      </c>
      <c r="C304" s="223" t="s">
        <v>255</v>
      </c>
      <c r="D304" s="142" t="s">
        <v>2</v>
      </c>
      <c r="E304" s="153">
        <v>0</v>
      </c>
      <c r="F304" s="188">
        <v>0</v>
      </c>
      <c r="G304" s="188">
        <v>4500</v>
      </c>
      <c r="H304" s="188">
        <v>500</v>
      </c>
      <c r="I304" s="327">
        <f t="shared" si="64"/>
        <v>0</v>
      </c>
      <c r="J304" s="624" t="s">
        <v>253</v>
      </c>
    </row>
    <row r="305" spans="1:10" s="44" customFormat="1" ht="58.15" customHeight="1" outlineLevel="1" x14ac:dyDescent="0.2">
      <c r="A305" s="225" t="s">
        <v>998</v>
      </c>
      <c r="B305" s="402" t="s">
        <v>539</v>
      </c>
      <c r="C305" s="140" t="s">
        <v>77</v>
      </c>
      <c r="D305" s="166" t="s">
        <v>2</v>
      </c>
      <c r="E305" s="302">
        <v>5</v>
      </c>
      <c r="F305" s="180">
        <f>0</f>
        <v>0</v>
      </c>
      <c r="G305" s="180">
        <v>10000</v>
      </c>
      <c r="H305" s="180">
        <f>0</f>
        <v>0</v>
      </c>
      <c r="I305" s="327">
        <f t="shared" si="64"/>
        <v>50000</v>
      </c>
      <c r="J305" s="347" t="s">
        <v>1044</v>
      </c>
    </row>
    <row r="306" spans="1:10" s="44" customFormat="1" ht="54.6" customHeight="1" outlineLevel="1" x14ac:dyDescent="0.2">
      <c r="A306" s="225" t="s">
        <v>999</v>
      </c>
      <c r="B306" s="202" t="s">
        <v>261</v>
      </c>
      <c r="C306" s="293" t="s">
        <v>658</v>
      </c>
      <c r="D306" s="57" t="s">
        <v>2</v>
      </c>
      <c r="E306" s="560">
        <v>1</v>
      </c>
      <c r="F306" s="649">
        <v>0</v>
      </c>
      <c r="G306" s="649">
        <v>0</v>
      </c>
      <c r="H306" s="649">
        <v>0</v>
      </c>
      <c r="I306" s="327">
        <f t="shared" si="64"/>
        <v>0</v>
      </c>
      <c r="J306" s="339" t="s">
        <v>540</v>
      </c>
    </row>
    <row r="307" spans="1:10" s="44" customFormat="1" ht="60.6" customHeight="1" outlineLevel="1" x14ac:dyDescent="0.2">
      <c r="A307" s="582" t="s">
        <v>1000</v>
      </c>
      <c r="B307" s="583" t="s">
        <v>123</v>
      </c>
      <c r="C307" s="584" t="s">
        <v>77</v>
      </c>
      <c r="D307" s="585" t="s">
        <v>2</v>
      </c>
      <c r="E307" s="586">
        <v>5</v>
      </c>
      <c r="F307" s="587">
        <f>0</f>
        <v>0</v>
      </c>
      <c r="G307" s="587">
        <v>10000</v>
      </c>
      <c r="H307" s="587">
        <f>0</f>
        <v>0</v>
      </c>
      <c r="I307" s="588">
        <f t="shared" si="64"/>
        <v>50000</v>
      </c>
      <c r="J307" s="349" t="s">
        <v>1043</v>
      </c>
    </row>
    <row r="308" spans="1:10" s="44" customFormat="1" ht="60" customHeight="1" outlineLevel="1" x14ac:dyDescent="0.2">
      <c r="A308" s="571" t="s">
        <v>1001</v>
      </c>
      <c r="B308" s="589" t="s">
        <v>136</v>
      </c>
      <c r="C308" s="590" t="s">
        <v>77</v>
      </c>
      <c r="D308" s="591" t="s">
        <v>2</v>
      </c>
      <c r="E308" s="592">
        <v>5</v>
      </c>
      <c r="F308" s="593">
        <f>0</f>
        <v>0</v>
      </c>
      <c r="G308" s="593">
        <v>10000</v>
      </c>
      <c r="H308" s="593">
        <f>0</f>
        <v>0</v>
      </c>
      <c r="I308" s="594">
        <f t="shared" si="64"/>
        <v>50000</v>
      </c>
      <c r="J308" s="595" t="s">
        <v>1043</v>
      </c>
    </row>
    <row r="309" spans="1:10" s="44" customFormat="1" ht="11.85" customHeight="1" outlineLevel="1" x14ac:dyDescent="0.2">
      <c r="A309" s="721" t="s">
        <v>162</v>
      </c>
      <c r="B309" s="721"/>
      <c r="C309" s="722" t="s">
        <v>163</v>
      </c>
      <c r="D309" s="722"/>
      <c r="E309" s="600">
        <f>ROUND((SUMPRODUCT(E22:E308,F22:F308)/1),0)*1</f>
        <v>2400</v>
      </c>
      <c r="F309" s="600">
        <f>ROUND((SUMPRODUCT(E22:E308,G22:G308)/1),0)*1</f>
        <v>1694150</v>
      </c>
      <c r="G309" s="600">
        <f>ROUND((SUMPRODUCT(E22:E308,H22:H308)/1),0)*1</f>
        <v>79092</v>
      </c>
      <c r="H309" s="601">
        <f>E309+F309+G309</f>
        <v>1775642</v>
      </c>
      <c r="I309" s="602"/>
      <c r="J309" s="338"/>
    </row>
    <row r="310" spans="1:10" s="44" customFormat="1" ht="14.45" customHeight="1" outlineLevel="1" x14ac:dyDescent="0.2">
      <c r="A310" s="603"/>
      <c r="B310" s="604"/>
      <c r="C310" s="605"/>
      <c r="D310" s="606"/>
      <c r="E310" s="607"/>
      <c r="F310" s="604"/>
      <c r="G310" s="604"/>
      <c r="H310" s="604"/>
      <c r="I310" s="608">
        <f>H309-H319</f>
        <v>-0.30000000004656613</v>
      </c>
      <c r="J310" s="338"/>
    </row>
    <row r="311" spans="1:10" s="44" customFormat="1" ht="12.6" customHeight="1" outlineLevel="1" x14ac:dyDescent="0.2">
      <c r="A311" s="723" t="str">
        <f>IF(ABS(H309-H319)&lt;1,"ДОБРЕ","ПОМИЛКА")</f>
        <v>ДОБРЕ</v>
      </c>
      <c r="B311" s="723"/>
      <c r="C311" s="723"/>
      <c r="D311" s="723"/>
      <c r="E311" s="723"/>
      <c r="F311" s="723"/>
      <c r="G311" s="723"/>
      <c r="H311" s="723"/>
      <c r="I311" s="609"/>
      <c r="J311" s="338"/>
    </row>
    <row r="312" spans="1:10" s="51" customFormat="1" ht="10.7" customHeight="1" x14ac:dyDescent="0.2">
      <c r="A312" s="255"/>
      <c r="B312" s="256"/>
      <c r="C312" s="255"/>
      <c r="D312" s="255"/>
      <c r="E312" s="328"/>
      <c r="F312" s="257"/>
      <c r="G312" s="257"/>
      <c r="H312" s="257"/>
      <c r="I312" s="329"/>
      <c r="J312" s="362"/>
    </row>
    <row r="313" spans="1:10" ht="17.649999999999999" customHeight="1" x14ac:dyDescent="0.2">
      <c r="A313" s="46"/>
      <c r="B313" s="258" t="s">
        <v>151</v>
      </c>
      <c r="C313" s="259"/>
      <c r="D313" s="260"/>
      <c r="E313" s="261"/>
      <c r="F313" s="50"/>
      <c r="G313" s="50"/>
      <c r="H313" s="50"/>
      <c r="I313" s="330"/>
    </row>
    <row r="314" spans="1:10" ht="47.45" customHeight="1" x14ac:dyDescent="0.2">
      <c r="A314" s="46"/>
      <c r="B314" s="296" t="s">
        <v>789</v>
      </c>
      <c r="C314" s="670"/>
      <c r="D314" s="297" t="s">
        <v>1056</v>
      </c>
      <c r="E314" s="331"/>
      <c r="F314" s="50"/>
      <c r="G314" s="50"/>
      <c r="H314" s="50"/>
      <c r="I314" s="330"/>
    </row>
    <row r="315" spans="1:10" ht="30.75" customHeight="1" x14ac:dyDescent="0.2">
      <c r="A315" s="46"/>
      <c r="B315" s="262" t="s">
        <v>599</v>
      </c>
      <c r="C315" s="671"/>
      <c r="D315" s="297" t="s">
        <v>134</v>
      </c>
      <c r="E315" s="331"/>
      <c r="F315" s="50"/>
      <c r="G315" s="50"/>
      <c r="H315" s="50"/>
      <c r="I315" s="330"/>
    </row>
    <row r="316" spans="1:10" ht="18" customHeight="1" x14ac:dyDescent="0.2">
      <c r="A316" s="46"/>
      <c r="B316" s="263" t="s">
        <v>164</v>
      </c>
      <c r="C316" s="672"/>
      <c r="D316" s="297" t="s">
        <v>598</v>
      </c>
      <c r="E316" s="331"/>
      <c r="F316" s="50"/>
      <c r="G316" s="50"/>
      <c r="H316" s="50"/>
      <c r="I316" s="330"/>
    </row>
    <row r="317" spans="1:10" ht="19.899999999999999" customHeight="1" x14ac:dyDescent="0.2">
      <c r="A317" s="46"/>
      <c r="B317" s="264" t="s">
        <v>135</v>
      </c>
      <c r="C317" s="673"/>
      <c r="D317" s="297" t="s">
        <v>150</v>
      </c>
      <c r="E317" s="331"/>
      <c r="F317" s="50"/>
      <c r="G317" s="50"/>
      <c r="H317" s="50"/>
      <c r="I317" s="330"/>
    </row>
    <row r="318" spans="1:10" x14ac:dyDescent="0.2">
      <c r="A318" s="46"/>
      <c r="B318" s="265"/>
      <c r="C318" s="46"/>
      <c r="E318" s="332"/>
      <c r="F318" s="50"/>
      <c r="G318" s="50"/>
      <c r="H318" s="50"/>
      <c r="I318" s="330"/>
    </row>
    <row r="319" spans="1:10" s="48" customFormat="1" ht="51" customHeight="1" x14ac:dyDescent="0.2">
      <c r="A319" s="266"/>
      <c r="B319" s="720" t="s">
        <v>1055</v>
      </c>
      <c r="C319" s="720"/>
      <c r="D319" s="720"/>
      <c r="E319" s="720"/>
      <c r="F319" s="720"/>
      <c r="G319" s="720"/>
      <c r="H319" s="717">
        <f>ROUND(((SUM(I22:I308))/2),1)*1</f>
        <v>1775642.3</v>
      </c>
      <c r="I319" s="717"/>
      <c r="J319" s="363" t="s">
        <v>142</v>
      </c>
    </row>
    <row r="320" spans="1:10" s="48" customFormat="1" ht="19.149999999999999" customHeight="1" x14ac:dyDescent="0.2">
      <c r="A320" s="266"/>
      <c r="B320" s="42"/>
      <c r="C320" s="42"/>
      <c r="D320" s="42"/>
      <c r="E320" s="333"/>
      <c r="F320" s="42"/>
      <c r="G320" s="42"/>
      <c r="H320" s="267"/>
      <c r="I320" s="334"/>
      <c r="J320" s="364"/>
    </row>
    <row r="321" spans="1:10" s="52" customFormat="1" ht="24" hidden="1" customHeight="1" x14ac:dyDescent="0.2">
      <c r="A321" s="268"/>
      <c r="B321" s="269" t="s">
        <v>143</v>
      </c>
      <c r="C321" s="269"/>
      <c r="D321" s="269"/>
      <c r="J321" s="338"/>
    </row>
    <row r="322" spans="1:10" s="52" customFormat="1" ht="24" hidden="1" customHeight="1" x14ac:dyDescent="0.2">
      <c r="A322" s="268"/>
      <c r="B322" s="269"/>
      <c r="C322" s="269"/>
      <c r="D322" s="269"/>
      <c r="J322" s="338"/>
    </row>
    <row r="323" spans="1:10" s="53" customFormat="1" ht="18.75" hidden="1" customHeight="1" x14ac:dyDescent="0.25">
      <c r="A323" s="270"/>
      <c r="B323" s="270"/>
      <c r="C323" s="270"/>
      <c r="D323" s="270"/>
      <c r="J323" s="365"/>
    </row>
    <row r="324" spans="1:10" s="54" customFormat="1" ht="17.45" hidden="1" customHeight="1" x14ac:dyDescent="0.25">
      <c r="A324" s="271"/>
      <c r="B324" s="718" t="s">
        <v>144</v>
      </c>
      <c r="C324" s="718"/>
      <c r="D324" s="272"/>
      <c r="E324" s="719"/>
      <c r="F324" s="719"/>
      <c r="G324" s="719"/>
      <c r="H324" s="719"/>
      <c r="I324" s="719"/>
      <c r="J324" s="719"/>
    </row>
    <row r="325" spans="1:10" s="54" customFormat="1" ht="17.45" hidden="1" customHeight="1" x14ac:dyDescent="0.25">
      <c r="A325" s="273"/>
      <c r="B325" s="274" t="s">
        <v>153</v>
      </c>
      <c r="C325" s="275"/>
      <c r="D325" s="272"/>
      <c r="E325" s="716"/>
      <c r="F325" s="716"/>
      <c r="G325" s="716"/>
      <c r="H325" s="716"/>
      <c r="I325" s="716"/>
      <c r="J325" s="716"/>
    </row>
    <row r="326" spans="1:10" s="54" customFormat="1" ht="17.45" hidden="1" customHeight="1" x14ac:dyDescent="0.25">
      <c r="A326" s="273"/>
      <c r="B326" s="271" t="s">
        <v>154</v>
      </c>
      <c r="C326" s="275"/>
      <c r="D326" s="272"/>
      <c r="E326" s="716"/>
      <c r="F326" s="716"/>
      <c r="G326" s="716"/>
      <c r="H326" s="716"/>
      <c r="I326" s="716"/>
      <c r="J326" s="716"/>
    </row>
    <row r="327" spans="1:10" s="54" customFormat="1" ht="17.45" hidden="1" customHeight="1" x14ac:dyDescent="0.25">
      <c r="A327" s="273"/>
      <c r="B327" s="274" t="s">
        <v>145</v>
      </c>
      <c r="C327" s="275"/>
      <c r="D327" s="272"/>
      <c r="J327" s="366"/>
    </row>
    <row r="328" spans="1:10" s="54" customFormat="1" ht="17.45" hidden="1" customHeight="1" x14ac:dyDescent="0.25">
      <c r="A328" s="273"/>
      <c r="B328" s="274" t="s">
        <v>146</v>
      </c>
      <c r="C328" s="275"/>
      <c r="D328" s="272"/>
      <c r="E328" s="716"/>
      <c r="F328" s="716"/>
      <c r="G328" s="716"/>
      <c r="H328" s="716"/>
      <c r="I328" s="716"/>
      <c r="J328" s="716"/>
    </row>
    <row r="329" spans="1:10" s="54" customFormat="1" ht="17.45" hidden="1" customHeight="1" x14ac:dyDescent="0.25">
      <c r="A329" s="273"/>
      <c r="B329" s="274" t="s">
        <v>147</v>
      </c>
      <c r="C329" s="275"/>
      <c r="D329" s="272"/>
      <c r="J329" s="367"/>
    </row>
    <row r="330" spans="1:10" s="55" customFormat="1" ht="17.45" hidden="1" customHeight="1" x14ac:dyDescent="0.25">
      <c r="A330" s="276"/>
      <c r="B330" s="274" t="s">
        <v>148</v>
      </c>
      <c r="C330" s="275"/>
      <c r="D330" s="271"/>
      <c r="J330" s="367"/>
    </row>
    <row r="331" spans="1:10" s="55" customFormat="1" ht="17.45" hidden="1" customHeight="1" x14ac:dyDescent="0.25">
      <c r="A331" s="276"/>
      <c r="B331" s="274" t="s">
        <v>149</v>
      </c>
      <c r="C331" s="275"/>
      <c r="D331" s="271"/>
      <c r="J331" s="368"/>
    </row>
    <row r="332" spans="1:10" s="55" customFormat="1" ht="17.45" hidden="1" customHeight="1" x14ac:dyDescent="0.25">
      <c r="A332" s="276"/>
      <c r="B332" s="271"/>
      <c r="C332" s="275"/>
      <c r="D332" s="271"/>
      <c r="J332" s="369"/>
    </row>
    <row r="333" spans="1:10" s="55" customFormat="1" ht="17.45" hidden="1" customHeight="1" x14ac:dyDescent="0.25">
      <c r="A333" s="276"/>
      <c r="B333" s="277" t="s">
        <v>152</v>
      </c>
      <c r="C333" s="271"/>
      <c r="D333" s="271"/>
      <c r="J333" s="369"/>
    </row>
    <row r="334" spans="1:10" s="55" customFormat="1" ht="36.4" hidden="1" customHeight="1" x14ac:dyDescent="0.25">
      <c r="A334" s="276"/>
      <c r="B334" s="271"/>
      <c r="C334" s="271"/>
      <c r="D334" s="273"/>
      <c r="J334" s="369"/>
    </row>
    <row r="335" spans="1:10" s="55" customFormat="1" ht="4.9000000000000004" hidden="1" customHeight="1" x14ac:dyDescent="0.25">
      <c r="A335" s="276"/>
      <c r="B335" s="277" t="s">
        <v>600</v>
      </c>
      <c r="C335" s="274"/>
      <c r="D335" s="271"/>
      <c r="J335" s="369"/>
    </row>
    <row r="336" spans="1:10" s="49" customFormat="1" ht="305.45" customHeight="1" x14ac:dyDescent="0.2">
      <c r="A336" s="278"/>
      <c r="B336" s="714" t="s">
        <v>633</v>
      </c>
      <c r="C336" s="714"/>
      <c r="D336" s="714"/>
      <c r="E336" s="715"/>
      <c r="F336" s="715"/>
      <c r="G336" s="715"/>
      <c r="H336" s="715"/>
      <c r="I336" s="715"/>
      <c r="J336" s="715"/>
    </row>
    <row r="337" spans="1:10" ht="10.15" customHeight="1" x14ac:dyDescent="0.2">
      <c r="A337" s="46"/>
      <c r="B337" s="46"/>
      <c r="C337" s="46"/>
      <c r="D337" s="46"/>
      <c r="E337" s="336"/>
      <c r="F337" s="336"/>
      <c r="G337" s="336"/>
      <c r="H337" s="336"/>
      <c r="I337" s="336"/>
      <c r="J337" s="335"/>
    </row>
    <row r="338" spans="1:10" x14ac:dyDescent="0.2">
      <c r="A338" s="46"/>
      <c r="B338" s="46"/>
      <c r="C338" s="46"/>
      <c r="D338" s="46"/>
      <c r="E338" s="336"/>
      <c r="F338" s="336"/>
      <c r="G338" s="336"/>
      <c r="H338" s="336"/>
      <c r="I338" s="336"/>
      <c r="J338" s="335"/>
    </row>
    <row r="339" spans="1:10" x14ac:dyDescent="0.2">
      <c r="A339" s="46"/>
      <c r="B339" s="46"/>
      <c r="C339" s="46"/>
      <c r="D339" s="46"/>
      <c r="E339" s="336"/>
      <c r="F339" s="336"/>
      <c r="G339" s="336"/>
      <c r="H339" s="336"/>
      <c r="I339" s="336"/>
      <c r="J339" s="335"/>
    </row>
    <row r="340" spans="1:10" x14ac:dyDescent="0.2">
      <c r="A340" s="46"/>
      <c r="B340" s="46"/>
      <c r="C340" s="46"/>
      <c r="D340" s="46"/>
      <c r="E340" s="336"/>
      <c r="F340" s="336"/>
      <c r="G340" s="336"/>
      <c r="H340" s="336"/>
      <c r="I340" s="336"/>
      <c r="J340" s="335"/>
    </row>
    <row r="341" spans="1:10" x14ac:dyDescent="0.2">
      <c r="A341" s="46"/>
      <c r="B341" s="46"/>
      <c r="C341" s="46"/>
      <c r="D341" s="46"/>
      <c r="E341" s="336"/>
      <c r="F341" s="336"/>
      <c r="G341" s="336"/>
      <c r="H341" s="336"/>
      <c r="I341" s="336"/>
      <c r="J341" s="335"/>
    </row>
    <row r="342" spans="1:10" x14ac:dyDescent="0.2">
      <c r="A342" s="46"/>
      <c r="B342" s="46"/>
      <c r="C342" s="46"/>
      <c r="D342" s="46"/>
      <c r="E342" s="336"/>
      <c r="F342" s="336"/>
      <c r="G342" s="336"/>
      <c r="H342" s="336"/>
      <c r="I342" s="336"/>
      <c r="J342" s="335"/>
    </row>
    <row r="343" spans="1:10" x14ac:dyDescent="0.2">
      <c r="A343" s="46"/>
      <c r="B343" s="46"/>
      <c r="C343" s="46"/>
      <c r="D343" s="46"/>
      <c r="E343" s="336"/>
      <c r="F343" s="336"/>
      <c r="G343" s="336"/>
      <c r="H343" s="336"/>
      <c r="I343" s="336"/>
      <c r="J343" s="335"/>
    </row>
    <row r="344" spans="1:10" x14ac:dyDescent="0.2">
      <c r="A344" s="46"/>
      <c r="B344" s="46"/>
      <c r="C344" s="46"/>
      <c r="D344" s="46"/>
      <c r="E344" s="336"/>
      <c r="F344" s="336"/>
      <c r="G344" s="336"/>
      <c r="H344" s="336"/>
      <c r="I344" s="336"/>
      <c r="J344" s="335"/>
    </row>
    <row r="345" spans="1:10" x14ac:dyDescent="0.2">
      <c r="A345" s="46"/>
      <c r="B345" s="46"/>
      <c r="C345" s="46"/>
      <c r="D345" s="46"/>
      <c r="E345" s="336"/>
      <c r="F345" s="336"/>
      <c r="G345" s="336"/>
      <c r="H345" s="336"/>
      <c r="I345" s="336"/>
      <c r="J345" s="335"/>
    </row>
    <row r="346" spans="1:10" x14ac:dyDescent="0.2">
      <c r="A346" s="46"/>
      <c r="B346" s="46"/>
      <c r="C346" s="46"/>
      <c r="D346" s="46"/>
      <c r="E346" s="336"/>
      <c r="F346" s="336"/>
      <c r="G346" s="336"/>
      <c r="H346" s="336"/>
      <c r="I346" s="336"/>
      <c r="J346" s="335"/>
    </row>
    <row r="347" spans="1:10" x14ac:dyDescent="0.2">
      <c r="A347" s="46"/>
      <c r="B347" s="46"/>
      <c r="C347" s="46"/>
      <c r="D347" s="46"/>
      <c r="E347" s="336"/>
      <c r="F347" s="336"/>
      <c r="G347" s="336"/>
      <c r="H347" s="336"/>
      <c r="I347" s="336"/>
      <c r="J347" s="335"/>
    </row>
    <row r="348" spans="1:10" x14ac:dyDescent="0.2">
      <c r="A348" s="46"/>
      <c r="B348" s="46"/>
      <c r="C348" s="46"/>
      <c r="D348" s="46"/>
      <c r="E348" s="336"/>
      <c r="F348" s="336"/>
      <c r="G348" s="336"/>
      <c r="H348" s="336"/>
      <c r="I348" s="336"/>
      <c r="J348" s="335"/>
    </row>
    <row r="349" spans="1:10" x14ac:dyDescent="0.2">
      <c r="A349" s="46"/>
      <c r="B349" s="46"/>
      <c r="C349" s="46"/>
      <c r="D349" s="46"/>
      <c r="E349" s="336"/>
      <c r="F349" s="336"/>
      <c r="G349" s="336"/>
      <c r="H349" s="336"/>
      <c r="I349" s="336"/>
      <c r="J349" s="335"/>
    </row>
    <row r="350" spans="1:10" x14ac:dyDescent="0.2">
      <c r="A350" s="46"/>
      <c r="B350" s="46"/>
      <c r="C350" s="46"/>
      <c r="D350" s="46"/>
      <c r="E350" s="336"/>
      <c r="F350" s="336"/>
      <c r="G350" s="336"/>
      <c r="H350" s="336"/>
      <c r="I350" s="336"/>
      <c r="J350" s="335"/>
    </row>
    <row r="351" spans="1:10" x14ac:dyDescent="0.2">
      <c r="A351" s="46"/>
      <c r="B351" s="46"/>
      <c r="C351" s="46"/>
      <c r="D351" s="46"/>
      <c r="E351" s="336"/>
      <c r="F351" s="336"/>
      <c r="G351" s="336"/>
      <c r="H351" s="336"/>
      <c r="I351" s="336"/>
      <c r="J351" s="335"/>
    </row>
    <row r="352" spans="1:10" x14ac:dyDescent="0.2">
      <c r="A352" s="46"/>
      <c r="B352" s="46"/>
      <c r="C352" s="46"/>
      <c r="D352" s="46"/>
      <c r="E352" s="336"/>
      <c r="F352" s="336"/>
      <c r="G352" s="336"/>
      <c r="H352" s="336"/>
      <c r="I352" s="336"/>
      <c r="J352" s="335"/>
    </row>
    <row r="353" spans="1:10" x14ac:dyDescent="0.2">
      <c r="A353" s="46"/>
      <c r="B353" s="46"/>
      <c r="C353" s="46"/>
      <c r="D353" s="46"/>
      <c r="E353" s="336"/>
      <c r="F353" s="336"/>
      <c r="G353" s="336"/>
      <c r="H353" s="336"/>
      <c r="I353" s="336"/>
      <c r="J353" s="335"/>
    </row>
    <row r="354" spans="1:10" x14ac:dyDescent="0.2">
      <c r="A354" s="46"/>
      <c r="B354" s="46"/>
      <c r="C354" s="46"/>
      <c r="D354" s="46"/>
      <c r="E354" s="336"/>
      <c r="F354" s="336"/>
      <c r="G354" s="336"/>
      <c r="H354" s="336"/>
      <c r="I354" s="336"/>
      <c r="J354" s="335"/>
    </row>
    <row r="355" spans="1:10" x14ac:dyDescent="0.2">
      <c r="A355" s="46"/>
      <c r="B355" s="46"/>
      <c r="C355" s="46"/>
      <c r="D355" s="46"/>
      <c r="E355" s="336"/>
      <c r="F355" s="336"/>
      <c r="G355" s="336"/>
      <c r="H355" s="336"/>
      <c r="I355" s="336"/>
      <c r="J355" s="335"/>
    </row>
    <row r="356" spans="1:10" x14ac:dyDescent="0.2">
      <c r="A356" s="46"/>
      <c r="B356" s="46"/>
      <c r="C356" s="46"/>
      <c r="D356" s="46"/>
      <c r="E356" s="336"/>
      <c r="F356" s="336"/>
      <c r="G356" s="336"/>
      <c r="H356" s="336"/>
      <c r="I356" s="336"/>
      <c r="J356" s="335"/>
    </row>
    <row r="357" spans="1:10" x14ac:dyDescent="0.2">
      <c r="A357" s="46"/>
      <c r="B357" s="46"/>
      <c r="C357" s="46"/>
      <c r="D357" s="46"/>
      <c r="E357" s="336"/>
      <c r="F357" s="336"/>
      <c r="G357" s="336"/>
      <c r="H357" s="336"/>
      <c r="I357" s="336"/>
      <c r="J357" s="335"/>
    </row>
    <row r="358" spans="1:10" x14ac:dyDescent="0.2">
      <c r="A358" s="46"/>
      <c r="B358" s="46"/>
      <c r="C358" s="46"/>
      <c r="D358" s="46"/>
      <c r="E358" s="336"/>
      <c r="F358" s="336"/>
      <c r="G358" s="336"/>
      <c r="H358" s="336"/>
      <c r="I358" s="336"/>
      <c r="J358" s="335"/>
    </row>
    <row r="359" spans="1:10" x14ac:dyDescent="0.2">
      <c r="A359" s="46"/>
      <c r="B359" s="46"/>
      <c r="C359" s="46"/>
      <c r="D359" s="46"/>
      <c r="E359" s="336"/>
      <c r="F359" s="336"/>
      <c r="G359" s="336"/>
      <c r="H359" s="336"/>
      <c r="I359" s="336"/>
      <c r="J359" s="335"/>
    </row>
    <row r="360" spans="1:10" x14ac:dyDescent="0.2">
      <c r="A360" s="46"/>
      <c r="B360" s="46"/>
      <c r="C360" s="46"/>
      <c r="D360" s="46"/>
      <c r="E360" s="336"/>
      <c r="F360" s="336"/>
      <c r="G360" s="336"/>
      <c r="H360" s="336"/>
      <c r="I360" s="336"/>
      <c r="J360" s="335"/>
    </row>
    <row r="361" spans="1:10" x14ac:dyDescent="0.2">
      <c r="A361" s="46"/>
      <c r="B361" s="46"/>
      <c r="C361" s="46"/>
      <c r="D361" s="46"/>
      <c r="E361" s="336"/>
      <c r="F361" s="336"/>
      <c r="G361" s="336"/>
      <c r="H361" s="336"/>
      <c r="I361" s="336"/>
      <c r="J361" s="335"/>
    </row>
    <row r="362" spans="1:10" x14ac:dyDescent="0.2">
      <c r="A362" s="46"/>
      <c r="B362" s="46"/>
      <c r="C362" s="46"/>
      <c r="D362" s="46"/>
      <c r="E362" s="336"/>
      <c r="F362" s="336"/>
      <c r="G362" s="336"/>
      <c r="H362" s="336"/>
      <c r="I362" s="336"/>
      <c r="J362" s="335"/>
    </row>
    <row r="363" spans="1:10" x14ac:dyDescent="0.2">
      <c r="A363" s="46"/>
      <c r="B363" s="46"/>
      <c r="C363" s="46"/>
      <c r="D363" s="46"/>
      <c r="E363" s="336"/>
      <c r="F363" s="336"/>
      <c r="G363" s="336"/>
      <c r="H363" s="336"/>
      <c r="I363" s="336"/>
      <c r="J363" s="335"/>
    </row>
    <row r="364" spans="1:10" x14ac:dyDescent="0.2">
      <c r="A364" s="46"/>
      <c r="B364" s="46"/>
      <c r="C364" s="46"/>
      <c r="D364" s="46"/>
      <c r="E364" s="336"/>
      <c r="F364" s="336"/>
      <c r="G364" s="336"/>
      <c r="H364" s="336"/>
      <c r="I364" s="336"/>
      <c r="J364" s="335"/>
    </row>
    <row r="365" spans="1:10" x14ac:dyDescent="0.2">
      <c r="A365" s="46"/>
      <c r="B365" s="46"/>
      <c r="C365" s="46"/>
      <c r="D365" s="46"/>
      <c r="E365" s="336"/>
      <c r="F365" s="336"/>
      <c r="G365" s="336"/>
      <c r="H365" s="336"/>
      <c r="I365" s="336"/>
      <c r="J365" s="335"/>
    </row>
    <row r="366" spans="1:10" x14ac:dyDescent="0.2">
      <c r="A366" s="46"/>
      <c r="B366" s="46"/>
      <c r="C366" s="46"/>
      <c r="D366" s="46"/>
      <c r="E366" s="336"/>
      <c r="F366" s="336"/>
      <c r="G366" s="336"/>
      <c r="H366" s="336"/>
      <c r="I366" s="336"/>
      <c r="J366" s="335"/>
    </row>
    <row r="367" spans="1:10" x14ac:dyDescent="0.2">
      <c r="A367" s="46"/>
      <c r="B367" s="46"/>
      <c r="C367" s="46"/>
      <c r="D367" s="46"/>
      <c r="E367" s="336"/>
      <c r="F367" s="336"/>
      <c r="G367" s="336"/>
      <c r="H367" s="336"/>
      <c r="I367" s="336"/>
      <c r="J367" s="335"/>
    </row>
    <row r="368" spans="1:10" x14ac:dyDescent="0.2">
      <c r="A368" s="46"/>
      <c r="B368" s="46"/>
      <c r="C368" s="46"/>
      <c r="D368" s="46"/>
      <c r="E368" s="336"/>
      <c r="F368" s="336"/>
      <c r="G368" s="336"/>
      <c r="H368" s="336"/>
      <c r="I368" s="336"/>
      <c r="J368" s="335"/>
    </row>
    <row r="369" spans="1:10" x14ac:dyDescent="0.2">
      <c r="A369" s="46"/>
      <c r="B369" s="46"/>
      <c r="C369" s="46"/>
      <c r="D369" s="46"/>
      <c r="E369" s="336"/>
      <c r="F369" s="336"/>
      <c r="G369" s="336"/>
      <c r="H369" s="336"/>
      <c r="I369" s="336"/>
      <c r="J369" s="335"/>
    </row>
    <row r="370" spans="1:10" x14ac:dyDescent="0.2">
      <c r="A370" s="46"/>
      <c r="B370" s="46"/>
      <c r="C370" s="46"/>
      <c r="D370" s="46"/>
      <c r="E370" s="336"/>
      <c r="F370" s="336"/>
      <c r="G370" s="336"/>
      <c r="H370" s="336"/>
      <c r="I370" s="336"/>
      <c r="J370" s="335"/>
    </row>
    <row r="371" spans="1:10" x14ac:dyDescent="0.2">
      <c r="A371" s="46"/>
      <c r="B371" s="46"/>
      <c r="C371" s="46"/>
      <c r="D371" s="46"/>
      <c r="E371" s="336"/>
      <c r="F371" s="336"/>
      <c r="G371" s="336"/>
      <c r="H371" s="336"/>
      <c r="I371" s="336"/>
      <c r="J371" s="335"/>
    </row>
    <row r="372" spans="1:10" x14ac:dyDescent="0.2">
      <c r="A372" s="46"/>
      <c r="B372" s="46"/>
      <c r="C372" s="46"/>
      <c r="D372" s="46"/>
      <c r="E372" s="336"/>
      <c r="F372" s="336"/>
      <c r="G372" s="336"/>
      <c r="H372" s="336"/>
      <c r="I372" s="336"/>
      <c r="J372" s="335"/>
    </row>
    <row r="373" spans="1:10" x14ac:dyDescent="0.2">
      <c r="A373" s="46"/>
      <c r="B373" s="46"/>
      <c r="C373" s="46"/>
      <c r="D373" s="46"/>
      <c r="E373" s="336"/>
      <c r="F373" s="336"/>
      <c r="G373" s="336"/>
      <c r="H373" s="336"/>
      <c r="I373" s="336"/>
      <c r="J373" s="335"/>
    </row>
    <row r="374" spans="1:10" x14ac:dyDescent="0.2">
      <c r="A374" s="46"/>
      <c r="B374" s="46"/>
      <c r="C374" s="46"/>
      <c r="D374" s="46"/>
      <c r="E374" s="336"/>
      <c r="F374" s="336"/>
      <c r="G374" s="336"/>
      <c r="H374" s="336"/>
      <c r="I374" s="336"/>
      <c r="J374" s="335"/>
    </row>
    <row r="375" spans="1:10" x14ac:dyDescent="0.2">
      <c r="A375" s="46"/>
      <c r="B375" s="46"/>
      <c r="C375" s="46"/>
      <c r="D375" s="46"/>
      <c r="E375" s="336"/>
      <c r="F375" s="336"/>
      <c r="G375" s="336"/>
      <c r="H375" s="336"/>
      <c r="I375" s="336"/>
      <c r="J375" s="335"/>
    </row>
    <row r="376" spans="1:10" x14ac:dyDescent="0.2">
      <c r="A376" s="46"/>
      <c r="B376" s="46"/>
      <c r="C376" s="46"/>
      <c r="D376" s="46"/>
      <c r="E376" s="336"/>
      <c r="F376" s="336"/>
      <c r="G376" s="336"/>
      <c r="H376" s="336"/>
      <c r="I376" s="336"/>
      <c r="J376" s="335"/>
    </row>
    <row r="377" spans="1:10" x14ac:dyDescent="0.2">
      <c r="A377" s="46"/>
      <c r="B377" s="46"/>
      <c r="C377" s="46"/>
      <c r="D377" s="46"/>
      <c r="E377" s="336"/>
      <c r="F377" s="336"/>
      <c r="G377" s="336"/>
      <c r="H377" s="336"/>
      <c r="I377" s="336"/>
      <c r="J377" s="335"/>
    </row>
    <row r="378" spans="1:10" x14ac:dyDescent="0.2">
      <c r="A378" s="46"/>
      <c r="B378" s="46"/>
      <c r="C378" s="46"/>
      <c r="D378" s="46"/>
      <c r="E378" s="336"/>
      <c r="F378" s="336"/>
      <c r="G378" s="336"/>
      <c r="H378" s="336"/>
      <c r="I378" s="336"/>
      <c r="J378" s="335"/>
    </row>
    <row r="379" spans="1:10" x14ac:dyDescent="0.2">
      <c r="A379" s="46"/>
      <c r="B379" s="46"/>
      <c r="C379" s="46"/>
      <c r="D379" s="46"/>
      <c r="E379" s="336"/>
      <c r="F379" s="336"/>
      <c r="G379" s="336"/>
      <c r="H379" s="336"/>
      <c r="I379" s="336"/>
      <c r="J379" s="335"/>
    </row>
    <row r="380" spans="1:10" x14ac:dyDescent="0.2">
      <c r="A380" s="46"/>
      <c r="B380" s="46"/>
      <c r="C380" s="46"/>
      <c r="D380" s="46"/>
      <c r="E380" s="336"/>
      <c r="F380" s="336"/>
      <c r="G380" s="336"/>
      <c r="H380" s="336"/>
      <c r="I380" s="336"/>
      <c r="J380" s="335"/>
    </row>
    <row r="381" spans="1:10" x14ac:dyDescent="0.2">
      <c r="A381" s="46"/>
      <c r="B381" s="46"/>
      <c r="C381" s="46"/>
      <c r="D381" s="46"/>
      <c r="E381" s="336"/>
      <c r="F381" s="336"/>
      <c r="G381" s="336"/>
      <c r="H381" s="336"/>
      <c r="I381" s="336"/>
      <c r="J381" s="335"/>
    </row>
    <row r="382" spans="1:10" x14ac:dyDescent="0.2">
      <c r="A382" s="46"/>
      <c r="B382" s="46"/>
      <c r="C382" s="46"/>
      <c r="D382" s="46"/>
      <c r="E382" s="336"/>
      <c r="F382" s="336"/>
      <c r="G382" s="336"/>
      <c r="H382" s="336"/>
      <c r="I382" s="336"/>
      <c r="J382" s="335"/>
    </row>
    <row r="383" spans="1:10" x14ac:dyDescent="0.2">
      <c r="A383" s="46"/>
      <c r="B383" s="46"/>
      <c r="C383" s="46"/>
      <c r="D383" s="46"/>
      <c r="E383" s="336"/>
      <c r="F383" s="336"/>
      <c r="G383" s="336"/>
      <c r="H383" s="336"/>
      <c r="I383" s="336"/>
      <c r="J383" s="335"/>
    </row>
    <row r="384" spans="1:10" x14ac:dyDescent="0.2">
      <c r="A384" s="46"/>
      <c r="B384" s="46"/>
      <c r="C384" s="46"/>
      <c r="D384" s="46"/>
      <c r="E384" s="336"/>
      <c r="F384" s="336"/>
      <c r="G384" s="336"/>
      <c r="H384" s="336"/>
      <c r="I384" s="336"/>
      <c r="J384" s="335"/>
    </row>
    <row r="385" spans="1:10" x14ac:dyDescent="0.2">
      <c r="A385" s="46"/>
      <c r="B385" s="46"/>
      <c r="C385" s="46"/>
      <c r="D385" s="46"/>
      <c r="E385" s="336"/>
      <c r="F385" s="336"/>
      <c r="G385" s="336"/>
      <c r="H385" s="336"/>
      <c r="I385" s="336"/>
      <c r="J385" s="335"/>
    </row>
    <row r="386" spans="1:10" x14ac:dyDescent="0.2">
      <c r="A386" s="46"/>
      <c r="B386" s="46"/>
      <c r="C386" s="46"/>
      <c r="D386" s="46"/>
      <c r="E386" s="336"/>
      <c r="F386" s="336"/>
      <c r="G386" s="336"/>
      <c r="H386" s="336"/>
      <c r="I386" s="336"/>
      <c r="J386" s="335"/>
    </row>
    <row r="387" spans="1:10" x14ac:dyDescent="0.2">
      <c r="A387" s="46"/>
      <c r="B387" s="46"/>
      <c r="C387" s="46"/>
      <c r="D387" s="46"/>
      <c r="E387" s="336"/>
      <c r="F387" s="336"/>
      <c r="G387" s="336"/>
      <c r="H387" s="336"/>
      <c r="I387" s="336"/>
      <c r="J387" s="335"/>
    </row>
    <row r="388" spans="1:10" x14ac:dyDescent="0.2">
      <c r="A388" s="46"/>
      <c r="B388" s="46"/>
      <c r="C388" s="46"/>
      <c r="D388" s="46"/>
      <c r="E388" s="336"/>
      <c r="F388" s="336"/>
      <c r="G388" s="336"/>
      <c r="H388" s="336"/>
      <c r="I388" s="336"/>
      <c r="J388" s="335"/>
    </row>
    <row r="389" spans="1:10" x14ac:dyDescent="0.2">
      <c r="A389" s="46"/>
      <c r="B389" s="46"/>
      <c r="C389" s="46"/>
      <c r="D389" s="46"/>
      <c r="E389" s="336"/>
      <c r="F389" s="336"/>
      <c r="G389" s="336"/>
      <c r="H389" s="336"/>
      <c r="I389" s="336"/>
      <c r="J389" s="335"/>
    </row>
    <row r="390" spans="1:10" x14ac:dyDescent="0.2">
      <c r="A390" s="46"/>
      <c r="B390" s="46"/>
      <c r="C390" s="46"/>
      <c r="D390" s="46"/>
      <c r="E390" s="336"/>
      <c r="F390" s="336"/>
      <c r="G390" s="336"/>
      <c r="H390" s="336"/>
      <c r="I390" s="336"/>
      <c r="J390" s="335"/>
    </row>
    <row r="391" spans="1:10" x14ac:dyDescent="0.2">
      <c r="A391" s="46"/>
      <c r="B391" s="46"/>
      <c r="C391" s="46"/>
      <c r="D391" s="46"/>
      <c r="E391" s="336"/>
      <c r="F391" s="336"/>
      <c r="G391" s="336"/>
      <c r="H391" s="336"/>
      <c r="I391" s="336"/>
      <c r="J391" s="335"/>
    </row>
    <row r="392" spans="1:10" x14ac:dyDescent="0.2">
      <c r="A392" s="46"/>
      <c r="B392" s="46"/>
      <c r="C392" s="46"/>
      <c r="D392" s="46"/>
      <c r="E392" s="336"/>
      <c r="F392" s="336"/>
      <c r="G392" s="336"/>
      <c r="H392" s="336"/>
      <c r="I392" s="336"/>
      <c r="J392" s="335"/>
    </row>
    <row r="393" spans="1:10" x14ac:dyDescent="0.2">
      <c r="A393" s="46"/>
      <c r="B393" s="46"/>
      <c r="C393" s="46"/>
      <c r="D393" s="46"/>
      <c r="E393" s="336"/>
      <c r="F393" s="336"/>
      <c r="G393" s="336"/>
      <c r="H393" s="336"/>
      <c r="I393" s="336"/>
      <c r="J393" s="335"/>
    </row>
    <row r="394" spans="1:10" x14ac:dyDescent="0.2">
      <c r="A394" s="46"/>
      <c r="B394" s="46"/>
      <c r="C394" s="46"/>
      <c r="D394" s="46"/>
      <c r="E394" s="336"/>
      <c r="F394" s="336"/>
      <c r="G394" s="336"/>
      <c r="H394" s="336"/>
      <c r="I394" s="336"/>
      <c r="J394" s="335"/>
    </row>
    <row r="395" spans="1:10" x14ac:dyDescent="0.2">
      <c r="A395" s="46"/>
      <c r="B395" s="46"/>
      <c r="C395" s="46"/>
      <c r="D395" s="46"/>
      <c r="E395" s="336"/>
      <c r="F395" s="336"/>
      <c r="G395" s="336"/>
      <c r="H395" s="336"/>
      <c r="I395" s="336"/>
      <c r="J395" s="335"/>
    </row>
    <row r="396" spans="1:10" x14ac:dyDescent="0.2">
      <c r="A396" s="46"/>
      <c r="B396" s="46"/>
      <c r="C396" s="46"/>
      <c r="D396" s="46"/>
      <c r="E396" s="336"/>
      <c r="F396" s="336"/>
      <c r="G396" s="336"/>
      <c r="H396" s="336"/>
      <c r="I396" s="336"/>
      <c r="J396" s="335"/>
    </row>
    <row r="397" spans="1:10" x14ac:dyDescent="0.2">
      <c r="A397" s="46"/>
      <c r="B397" s="46"/>
      <c r="C397" s="46"/>
      <c r="D397" s="46"/>
      <c r="E397" s="336"/>
      <c r="F397" s="336"/>
      <c r="G397" s="336"/>
      <c r="H397" s="336"/>
      <c r="I397" s="336"/>
      <c r="J397" s="335"/>
    </row>
    <row r="398" spans="1:10" x14ac:dyDescent="0.2">
      <c r="A398" s="46"/>
      <c r="B398" s="46"/>
      <c r="C398" s="46"/>
      <c r="D398" s="46"/>
      <c r="E398" s="336"/>
      <c r="F398" s="336"/>
      <c r="G398" s="336"/>
      <c r="H398" s="336"/>
      <c r="I398" s="336"/>
      <c r="J398" s="335"/>
    </row>
    <row r="399" spans="1:10" x14ac:dyDescent="0.2">
      <c r="A399" s="46"/>
      <c r="B399" s="46"/>
      <c r="C399" s="46"/>
      <c r="D399" s="46"/>
      <c r="E399" s="336"/>
      <c r="F399" s="336"/>
      <c r="G399" s="336"/>
      <c r="H399" s="336"/>
      <c r="I399" s="336"/>
      <c r="J399" s="335"/>
    </row>
    <row r="400" spans="1:10" x14ac:dyDescent="0.2">
      <c r="A400" s="46"/>
      <c r="B400" s="46"/>
      <c r="C400" s="46"/>
      <c r="D400" s="46"/>
      <c r="E400" s="336"/>
      <c r="F400" s="336"/>
      <c r="G400" s="336"/>
      <c r="H400" s="336"/>
      <c r="I400" s="336"/>
      <c r="J400" s="335"/>
    </row>
    <row r="401" spans="1:10" x14ac:dyDescent="0.2">
      <c r="A401" s="46"/>
      <c r="B401" s="46"/>
      <c r="C401" s="46"/>
      <c r="D401" s="46"/>
      <c r="E401" s="336"/>
      <c r="F401" s="336"/>
      <c r="G401" s="336"/>
      <c r="H401" s="336"/>
      <c r="I401" s="336"/>
      <c r="J401" s="335"/>
    </row>
    <row r="402" spans="1:10" x14ac:dyDescent="0.2">
      <c r="A402" s="46"/>
      <c r="B402" s="46"/>
      <c r="C402" s="46"/>
      <c r="D402" s="46"/>
      <c r="E402" s="336"/>
      <c r="F402" s="336"/>
      <c r="G402" s="336"/>
      <c r="H402" s="336"/>
      <c r="I402" s="336"/>
      <c r="J402" s="335"/>
    </row>
    <row r="403" spans="1:10" x14ac:dyDescent="0.2">
      <c r="A403" s="46"/>
      <c r="B403" s="46"/>
      <c r="C403" s="46"/>
      <c r="D403" s="46"/>
      <c r="E403" s="336"/>
      <c r="F403" s="336"/>
      <c r="G403" s="336"/>
      <c r="H403" s="336"/>
      <c r="I403" s="336"/>
      <c r="J403" s="335"/>
    </row>
    <row r="404" spans="1:10" x14ac:dyDescent="0.2">
      <c r="A404" s="46"/>
      <c r="B404" s="46"/>
      <c r="C404" s="46"/>
      <c r="D404" s="46"/>
      <c r="E404" s="336"/>
      <c r="F404" s="336"/>
      <c r="G404" s="336"/>
      <c r="H404" s="336"/>
      <c r="I404" s="336"/>
      <c r="J404" s="335"/>
    </row>
    <row r="405" spans="1:10" x14ac:dyDescent="0.2">
      <c r="A405" s="46"/>
      <c r="B405" s="46"/>
      <c r="C405" s="46"/>
      <c r="D405" s="46"/>
      <c r="E405" s="336"/>
      <c r="F405" s="336"/>
      <c r="G405" s="336"/>
      <c r="H405" s="336"/>
      <c r="I405" s="336"/>
      <c r="J405" s="335"/>
    </row>
    <row r="406" spans="1:10" x14ac:dyDescent="0.2">
      <c r="A406" s="46"/>
      <c r="B406" s="46"/>
      <c r="C406" s="46"/>
      <c r="D406" s="46"/>
      <c r="E406" s="336"/>
      <c r="F406" s="336"/>
      <c r="G406" s="336"/>
      <c r="H406" s="336"/>
      <c r="I406" s="336"/>
      <c r="J406" s="335"/>
    </row>
    <row r="407" spans="1:10" x14ac:dyDescent="0.2">
      <c r="A407" s="46"/>
      <c r="B407" s="46"/>
      <c r="C407" s="46"/>
      <c r="D407" s="46"/>
      <c r="E407" s="336"/>
      <c r="F407" s="336"/>
      <c r="G407" s="336"/>
      <c r="H407" s="336"/>
      <c r="I407" s="336"/>
      <c r="J407" s="335"/>
    </row>
    <row r="408" spans="1:10" x14ac:dyDescent="0.2">
      <c r="A408" s="46"/>
      <c r="B408" s="46"/>
      <c r="C408" s="46"/>
      <c r="D408" s="46"/>
      <c r="E408" s="336"/>
      <c r="F408" s="336"/>
      <c r="G408" s="336"/>
      <c r="H408" s="336"/>
      <c r="I408" s="336"/>
      <c r="J408" s="335"/>
    </row>
    <row r="409" spans="1:10" x14ac:dyDescent="0.2">
      <c r="A409" s="46"/>
      <c r="B409" s="46"/>
      <c r="C409" s="46"/>
      <c r="D409" s="46"/>
      <c r="E409" s="336"/>
      <c r="F409" s="336"/>
      <c r="G409" s="336"/>
      <c r="H409" s="336"/>
      <c r="I409" s="336"/>
      <c r="J409" s="335"/>
    </row>
    <row r="410" spans="1:10" x14ac:dyDescent="0.2">
      <c r="A410" s="46"/>
      <c r="B410" s="46"/>
      <c r="C410" s="46"/>
      <c r="D410" s="46"/>
      <c r="E410" s="336"/>
      <c r="F410" s="336"/>
      <c r="G410" s="336"/>
      <c r="H410" s="336"/>
      <c r="I410" s="336"/>
      <c r="J410" s="335"/>
    </row>
    <row r="411" spans="1:10" x14ac:dyDescent="0.2">
      <c r="A411" s="46"/>
      <c r="B411" s="46"/>
      <c r="C411" s="46"/>
      <c r="D411" s="46"/>
      <c r="E411" s="336"/>
      <c r="F411" s="336"/>
      <c r="G411" s="336"/>
      <c r="H411" s="336"/>
      <c r="I411" s="336"/>
      <c r="J411" s="335"/>
    </row>
    <row r="412" spans="1:10" x14ac:dyDescent="0.2">
      <c r="A412" s="46"/>
      <c r="B412" s="46"/>
      <c r="C412" s="46"/>
      <c r="D412" s="46"/>
      <c r="E412" s="336"/>
      <c r="F412" s="336"/>
      <c r="G412" s="336"/>
      <c r="H412" s="336"/>
      <c r="I412" s="336"/>
      <c r="J412" s="335"/>
    </row>
    <row r="413" spans="1:10" x14ac:dyDescent="0.2">
      <c r="A413" s="46"/>
      <c r="B413" s="46"/>
      <c r="C413" s="46"/>
      <c r="D413" s="46"/>
      <c r="E413" s="336"/>
      <c r="F413" s="336"/>
      <c r="G413" s="336"/>
      <c r="H413" s="336"/>
      <c r="I413" s="336"/>
      <c r="J413" s="335"/>
    </row>
    <row r="414" spans="1:10" x14ac:dyDescent="0.2">
      <c r="A414" s="46"/>
      <c r="B414" s="46"/>
      <c r="C414" s="46"/>
      <c r="D414" s="46"/>
      <c r="E414" s="336"/>
      <c r="F414" s="336"/>
      <c r="G414" s="336"/>
      <c r="H414" s="336"/>
      <c r="I414" s="336"/>
      <c r="J414" s="335"/>
    </row>
    <row r="415" spans="1:10" x14ac:dyDescent="0.2">
      <c r="A415" s="46"/>
      <c r="B415" s="46"/>
      <c r="C415" s="46"/>
      <c r="D415" s="46"/>
      <c r="E415" s="336"/>
      <c r="F415" s="336"/>
      <c r="G415" s="336"/>
      <c r="H415" s="336"/>
      <c r="I415" s="336"/>
      <c r="J415" s="335"/>
    </row>
    <row r="416" spans="1:10" x14ac:dyDescent="0.2">
      <c r="A416" s="46"/>
      <c r="B416" s="46"/>
      <c r="C416" s="46"/>
      <c r="D416" s="46"/>
      <c r="E416" s="336"/>
      <c r="F416" s="336"/>
      <c r="G416" s="336"/>
      <c r="H416" s="336"/>
      <c r="I416" s="336"/>
      <c r="J416" s="335"/>
    </row>
    <row r="417" spans="1:10" x14ac:dyDescent="0.2">
      <c r="A417" s="46"/>
      <c r="B417" s="46"/>
      <c r="C417" s="46"/>
      <c r="D417" s="46"/>
      <c r="E417" s="336"/>
      <c r="F417" s="336"/>
      <c r="G417" s="336"/>
      <c r="H417" s="336"/>
      <c r="I417" s="336"/>
      <c r="J417" s="335"/>
    </row>
    <row r="418" spans="1:10" x14ac:dyDescent="0.2">
      <c r="A418" s="46"/>
      <c r="B418" s="46"/>
      <c r="C418" s="46"/>
      <c r="D418" s="46"/>
      <c r="E418" s="336"/>
      <c r="F418" s="336"/>
      <c r="G418" s="336"/>
      <c r="H418" s="336"/>
      <c r="I418" s="336"/>
      <c r="J418" s="335"/>
    </row>
    <row r="419" spans="1:10" x14ac:dyDescent="0.2">
      <c r="A419" s="46"/>
      <c r="B419" s="46"/>
      <c r="C419" s="46"/>
      <c r="D419" s="46"/>
      <c r="E419" s="336"/>
      <c r="F419" s="336"/>
      <c r="G419" s="336"/>
      <c r="H419" s="336"/>
      <c r="I419" s="336"/>
      <c r="J419" s="335"/>
    </row>
    <row r="420" spans="1:10" x14ac:dyDescent="0.2">
      <c r="A420" s="46"/>
      <c r="B420" s="46"/>
      <c r="C420" s="46"/>
      <c r="D420" s="46"/>
      <c r="E420" s="336"/>
      <c r="F420" s="336"/>
      <c r="G420" s="336"/>
      <c r="H420" s="336"/>
      <c r="I420" s="336"/>
      <c r="J420" s="335"/>
    </row>
    <row r="421" spans="1:10" x14ac:dyDescent="0.2">
      <c r="A421" s="46"/>
      <c r="B421" s="46"/>
      <c r="C421" s="46"/>
      <c r="D421" s="46"/>
      <c r="E421" s="336"/>
      <c r="F421" s="336"/>
      <c r="G421" s="336"/>
      <c r="H421" s="336"/>
      <c r="I421" s="336"/>
      <c r="J421" s="335"/>
    </row>
    <row r="422" spans="1:10" x14ac:dyDescent="0.2">
      <c r="A422" s="46"/>
      <c r="B422" s="46"/>
      <c r="C422" s="46"/>
      <c r="D422" s="46"/>
      <c r="E422" s="336"/>
      <c r="F422" s="336"/>
      <c r="G422" s="336"/>
      <c r="H422" s="336"/>
      <c r="I422" s="336"/>
      <c r="J422" s="335"/>
    </row>
    <row r="423" spans="1:10" x14ac:dyDescent="0.2">
      <c r="A423" s="46"/>
      <c r="B423" s="46"/>
      <c r="C423" s="46"/>
      <c r="D423" s="46"/>
      <c r="E423" s="336"/>
      <c r="F423" s="336"/>
      <c r="G423" s="336"/>
      <c r="H423" s="336"/>
      <c r="I423" s="336"/>
      <c r="J423" s="335"/>
    </row>
    <row r="424" spans="1:10" x14ac:dyDescent="0.2">
      <c r="A424" s="46"/>
      <c r="B424" s="46"/>
      <c r="C424" s="46"/>
      <c r="D424" s="46"/>
      <c r="E424" s="336"/>
      <c r="F424" s="336"/>
      <c r="G424" s="336"/>
      <c r="H424" s="336"/>
      <c r="I424" s="336"/>
      <c r="J424" s="335"/>
    </row>
    <row r="425" spans="1:10" x14ac:dyDescent="0.2">
      <c r="A425" s="46"/>
      <c r="B425" s="46"/>
      <c r="C425" s="46"/>
      <c r="D425" s="46"/>
      <c r="E425" s="336"/>
      <c r="F425" s="336"/>
      <c r="G425" s="336"/>
      <c r="H425" s="336"/>
      <c r="I425" s="336"/>
      <c r="J425" s="335"/>
    </row>
    <row r="426" spans="1:10" x14ac:dyDescent="0.2">
      <c r="A426" s="46"/>
      <c r="B426" s="46"/>
      <c r="C426" s="46"/>
      <c r="D426" s="46"/>
      <c r="E426" s="336"/>
      <c r="F426" s="336"/>
      <c r="G426" s="336"/>
      <c r="H426" s="336"/>
      <c r="I426" s="336"/>
      <c r="J426" s="335"/>
    </row>
    <row r="427" spans="1:10" x14ac:dyDescent="0.2">
      <c r="A427" s="46"/>
      <c r="B427" s="46"/>
      <c r="C427" s="46"/>
      <c r="D427" s="46"/>
      <c r="E427" s="336"/>
      <c r="F427" s="336"/>
      <c r="G427" s="336"/>
      <c r="H427" s="336"/>
      <c r="I427" s="336"/>
      <c r="J427" s="335"/>
    </row>
    <row r="428" spans="1:10" x14ac:dyDescent="0.2">
      <c r="A428" s="46"/>
      <c r="B428" s="46"/>
      <c r="C428" s="46"/>
      <c r="D428" s="46"/>
      <c r="E428" s="336"/>
      <c r="F428" s="336"/>
      <c r="G428" s="336"/>
      <c r="H428" s="336"/>
      <c r="I428" s="336"/>
      <c r="J428" s="335"/>
    </row>
    <row r="429" spans="1:10" x14ac:dyDescent="0.2">
      <c r="A429" s="46"/>
      <c r="B429" s="46"/>
      <c r="C429" s="46"/>
      <c r="D429" s="46"/>
      <c r="E429" s="336"/>
      <c r="F429" s="336"/>
      <c r="G429" s="336"/>
      <c r="H429" s="336"/>
      <c r="I429" s="336"/>
      <c r="J429" s="335"/>
    </row>
    <row r="430" spans="1:10" x14ac:dyDescent="0.2">
      <c r="A430" s="46"/>
      <c r="B430" s="46"/>
      <c r="C430" s="46"/>
      <c r="D430" s="46"/>
      <c r="E430" s="336"/>
      <c r="F430" s="336"/>
      <c r="G430" s="336"/>
      <c r="H430" s="336"/>
      <c r="I430" s="336"/>
      <c r="J430" s="335"/>
    </row>
    <row r="431" spans="1:10" x14ac:dyDescent="0.2">
      <c r="A431" s="46"/>
      <c r="B431" s="46"/>
      <c r="C431" s="46"/>
      <c r="D431" s="46"/>
      <c r="E431" s="336"/>
      <c r="F431" s="336"/>
      <c r="G431" s="336"/>
      <c r="H431" s="336"/>
      <c r="I431" s="336"/>
      <c r="J431" s="335"/>
    </row>
    <row r="432" spans="1:10" x14ac:dyDescent="0.2">
      <c r="A432" s="46"/>
      <c r="B432" s="46"/>
      <c r="C432" s="46"/>
      <c r="D432" s="46"/>
      <c r="E432" s="336"/>
      <c r="F432" s="336"/>
      <c r="G432" s="336"/>
      <c r="H432" s="336"/>
      <c r="I432" s="336"/>
      <c r="J432" s="335"/>
    </row>
    <row r="433" spans="1:10" x14ac:dyDescent="0.2">
      <c r="A433" s="46"/>
      <c r="B433" s="46"/>
      <c r="C433" s="46"/>
      <c r="D433" s="46"/>
      <c r="E433" s="336"/>
      <c r="F433" s="336"/>
      <c r="G433" s="336"/>
      <c r="H433" s="336"/>
      <c r="I433" s="336"/>
      <c r="J433" s="335"/>
    </row>
    <row r="434" spans="1:10" x14ac:dyDescent="0.2">
      <c r="A434" s="46"/>
      <c r="B434" s="46"/>
      <c r="C434" s="46"/>
      <c r="D434" s="46"/>
      <c r="E434" s="336"/>
      <c r="F434" s="336"/>
      <c r="G434" s="336"/>
      <c r="H434" s="336"/>
      <c r="I434" s="336"/>
      <c r="J434" s="335"/>
    </row>
    <row r="435" spans="1:10" x14ac:dyDescent="0.2">
      <c r="A435" s="46"/>
      <c r="B435" s="46"/>
      <c r="C435" s="46"/>
      <c r="D435" s="46"/>
      <c r="E435" s="336"/>
      <c r="F435" s="336"/>
      <c r="G435" s="336"/>
      <c r="H435" s="336"/>
      <c r="I435" s="336"/>
      <c r="J435" s="335"/>
    </row>
    <row r="436" spans="1:10" x14ac:dyDescent="0.2">
      <c r="A436" s="46"/>
      <c r="B436" s="46"/>
      <c r="C436" s="46"/>
      <c r="D436" s="46"/>
      <c r="E436" s="336"/>
      <c r="F436" s="336"/>
      <c r="G436" s="336"/>
      <c r="H436" s="336"/>
      <c r="I436" s="336"/>
      <c r="J436" s="335"/>
    </row>
    <row r="437" spans="1:10" x14ac:dyDescent="0.2">
      <c r="A437" s="46"/>
      <c r="B437" s="46"/>
      <c r="C437" s="46"/>
      <c r="D437" s="46"/>
      <c r="E437" s="336"/>
      <c r="F437" s="336"/>
      <c r="G437" s="336"/>
      <c r="H437" s="336"/>
      <c r="I437" s="336"/>
      <c r="J437" s="335"/>
    </row>
    <row r="438" spans="1:10" x14ac:dyDescent="0.2">
      <c r="A438" s="46"/>
      <c r="B438" s="46"/>
      <c r="C438" s="46"/>
      <c r="D438" s="46"/>
      <c r="E438" s="336"/>
      <c r="F438" s="336"/>
      <c r="G438" s="336"/>
      <c r="H438" s="336"/>
      <c r="I438" s="336"/>
      <c r="J438" s="335"/>
    </row>
    <row r="439" spans="1:10" x14ac:dyDescent="0.2">
      <c r="A439" s="46"/>
      <c r="B439" s="46"/>
      <c r="C439" s="46"/>
      <c r="D439" s="46"/>
      <c r="E439" s="336"/>
      <c r="F439" s="336"/>
      <c r="G439" s="336"/>
      <c r="H439" s="336"/>
      <c r="I439" s="336"/>
      <c r="J439" s="335"/>
    </row>
    <row r="440" spans="1:10" x14ac:dyDescent="0.2">
      <c r="A440" s="46"/>
      <c r="B440" s="46"/>
      <c r="C440" s="46"/>
      <c r="D440" s="46"/>
      <c r="E440" s="336"/>
      <c r="F440" s="336"/>
      <c r="G440" s="336"/>
      <c r="H440" s="336"/>
      <c r="I440" s="336"/>
      <c r="J440" s="335"/>
    </row>
    <row r="441" spans="1:10" x14ac:dyDescent="0.2">
      <c r="A441" s="46"/>
      <c r="B441" s="46"/>
      <c r="C441" s="46"/>
      <c r="D441" s="46"/>
      <c r="E441" s="336"/>
      <c r="F441" s="336"/>
      <c r="G441" s="336"/>
      <c r="H441" s="336"/>
      <c r="I441" s="336"/>
      <c r="J441" s="335"/>
    </row>
    <row r="442" spans="1:10" x14ac:dyDescent="0.2">
      <c r="A442" s="46"/>
      <c r="B442" s="46"/>
      <c r="C442" s="46"/>
      <c r="D442" s="46"/>
      <c r="E442" s="336"/>
      <c r="F442" s="336"/>
      <c r="G442" s="336"/>
      <c r="H442" s="336"/>
      <c r="I442" s="336"/>
      <c r="J442" s="335"/>
    </row>
    <row r="443" spans="1:10" x14ac:dyDescent="0.2">
      <c r="A443" s="46"/>
      <c r="B443" s="46"/>
      <c r="C443" s="46"/>
      <c r="D443" s="46"/>
      <c r="E443" s="336"/>
      <c r="F443" s="336"/>
      <c r="G443" s="336"/>
      <c r="H443" s="336"/>
      <c r="I443" s="336"/>
      <c r="J443" s="335"/>
    </row>
    <row r="444" spans="1:10" x14ac:dyDescent="0.2">
      <c r="A444" s="46"/>
      <c r="B444" s="46"/>
      <c r="C444" s="46"/>
      <c r="D444" s="46"/>
      <c r="E444" s="336"/>
      <c r="F444" s="336"/>
      <c r="G444" s="336"/>
      <c r="H444" s="336"/>
      <c r="I444" s="336"/>
      <c r="J444" s="335"/>
    </row>
    <row r="445" spans="1:10" x14ac:dyDescent="0.2">
      <c r="A445" s="46"/>
      <c r="B445" s="46"/>
      <c r="C445" s="46"/>
      <c r="D445" s="46"/>
      <c r="E445" s="336"/>
      <c r="F445" s="336"/>
      <c r="G445" s="336"/>
      <c r="H445" s="336"/>
      <c r="I445" s="336"/>
      <c r="J445" s="335"/>
    </row>
    <row r="446" spans="1:10" x14ac:dyDescent="0.2">
      <c r="A446" s="46"/>
      <c r="B446" s="46"/>
      <c r="C446" s="46"/>
      <c r="D446" s="46"/>
      <c r="E446" s="336"/>
      <c r="F446" s="336"/>
      <c r="G446" s="336"/>
      <c r="H446" s="336"/>
      <c r="I446" s="336"/>
      <c r="J446" s="335"/>
    </row>
    <row r="447" spans="1:10" x14ac:dyDescent="0.2">
      <c r="A447" s="46"/>
      <c r="B447" s="46"/>
      <c r="C447" s="46"/>
      <c r="D447" s="46"/>
      <c r="E447" s="336"/>
      <c r="F447" s="336"/>
      <c r="G447" s="336"/>
      <c r="H447" s="336"/>
      <c r="I447" s="336"/>
      <c r="J447" s="335"/>
    </row>
    <row r="448" spans="1:10" x14ac:dyDescent="0.2">
      <c r="A448" s="46"/>
      <c r="B448" s="46"/>
      <c r="C448" s="46"/>
      <c r="D448" s="46"/>
      <c r="E448" s="336"/>
      <c r="F448" s="336"/>
      <c r="G448" s="336"/>
      <c r="H448" s="336"/>
      <c r="I448" s="336"/>
      <c r="J448" s="335"/>
    </row>
    <row r="449" spans="1:10" x14ac:dyDescent="0.2">
      <c r="A449" s="46"/>
      <c r="B449" s="46"/>
      <c r="C449" s="46"/>
      <c r="D449" s="46"/>
      <c r="E449" s="336"/>
      <c r="F449" s="336"/>
      <c r="G449" s="336"/>
      <c r="H449" s="336"/>
      <c r="I449" s="336"/>
      <c r="J449" s="335"/>
    </row>
    <row r="450" spans="1:10" x14ac:dyDescent="0.2">
      <c r="A450" s="46"/>
      <c r="B450" s="46"/>
      <c r="C450" s="46"/>
      <c r="D450" s="46"/>
      <c r="E450" s="336"/>
      <c r="F450" s="336"/>
      <c r="G450" s="336"/>
      <c r="H450" s="336"/>
      <c r="I450" s="336"/>
      <c r="J450" s="335"/>
    </row>
    <row r="451" spans="1:10" x14ac:dyDescent="0.2">
      <c r="A451" s="46"/>
      <c r="B451" s="46"/>
      <c r="C451" s="46"/>
      <c r="D451" s="46"/>
      <c r="E451" s="336"/>
      <c r="F451" s="336"/>
      <c r="G451" s="336"/>
      <c r="H451" s="336"/>
      <c r="I451" s="336"/>
      <c r="J451" s="335"/>
    </row>
    <row r="452" spans="1:10" x14ac:dyDescent="0.2">
      <c r="A452" s="46"/>
      <c r="B452" s="46"/>
      <c r="C452" s="46"/>
      <c r="D452" s="46"/>
      <c r="E452" s="336"/>
      <c r="F452" s="336"/>
      <c r="G452" s="336"/>
      <c r="H452" s="336"/>
      <c r="I452" s="336"/>
      <c r="J452" s="335"/>
    </row>
    <row r="453" spans="1:10" x14ac:dyDescent="0.2">
      <c r="A453" s="46"/>
      <c r="B453" s="46"/>
      <c r="C453" s="46"/>
      <c r="D453" s="46"/>
      <c r="E453" s="336"/>
      <c r="F453" s="336"/>
      <c r="G453" s="336"/>
      <c r="H453" s="336"/>
      <c r="I453" s="336"/>
      <c r="J453" s="335"/>
    </row>
    <row r="454" spans="1:10" x14ac:dyDescent="0.2">
      <c r="A454" s="46"/>
      <c r="B454" s="46"/>
      <c r="C454" s="46"/>
      <c r="D454" s="46"/>
      <c r="E454" s="336"/>
      <c r="F454" s="336"/>
      <c r="G454" s="336"/>
      <c r="H454" s="336"/>
      <c r="I454" s="336"/>
      <c r="J454" s="335"/>
    </row>
    <row r="455" spans="1:10" x14ac:dyDescent="0.2">
      <c r="A455" s="46"/>
      <c r="B455" s="46"/>
      <c r="C455" s="46"/>
      <c r="D455" s="46"/>
      <c r="E455" s="336"/>
      <c r="F455" s="336"/>
      <c r="G455" s="336"/>
      <c r="H455" s="336"/>
      <c r="I455" s="336"/>
      <c r="J455" s="335"/>
    </row>
    <row r="456" spans="1:10" x14ac:dyDescent="0.2">
      <c r="A456" s="46"/>
      <c r="B456" s="46"/>
      <c r="C456" s="46"/>
      <c r="D456" s="46"/>
      <c r="E456" s="336"/>
      <c r="F456" s="336"/>
      <c r="G456" s="336"/>
      <c r="H456" s="336"/>
      <c r="I456" s="336"/>
      <c r="J456" s="335"/>
    </row>
    <row r="457" spans="1:10" x14ac:dyDescent="0.2">
      <c r="A457" s="46"/>
      <c r="B457" s="46"/>
      <c r="C457" s="46"/>
      <c r="D457" s="46"/>
      <c r="E457" s="336"/>
      <c r="F457" s="336"/>
      <c r="G457" s="336"/>
      <c r="H457" s="336"/>
      <c r="I457" s="336"/>
      <c r="J457" s="335"/>
    </row>
    <row r="458" spans="1:10" x14ac:dyDescent="0.2">
      <c r="A458" s="46"/>
      <c r="B458" s="46"/>
      <c r="C458" s="46"/>
      <c r="D458" s="46"/>
      <c r="E458" s="336"/>
      <c r="F458" s="336"/>
      <c r="G458" s="336"/>
      <c r="H458" s="336"/>
      <c r="I458" s="336"/>
      <c r="J458" s="335"/>
    </row>
    <row r="459" spans="1:10" x14ac:dyDescent="0.2">
      <c r="A459" s="46"/>
      <c r="B459" s="46"/>
      <c r="C459" s="46"/>
      <c r="D459" s="46"/>
      <c r="E459" s="336"/>
      <c r="F459" s="336"/>
      <c r="G459" s="336"/>
      <c r="H459" s="336"/>
      <c r="I459" s="336"/>
      <c r="J459" s="335"/>
    </row>
    <row r="460" spans="1:10" x14ac:dyDescent="0.2">
      <c r="A460" s="46"/>
      <c r="B460" s="46"/>
      <c r="C460" s="46"/>
      <c r="D460" s="46"/>
      <c r="E460" s="336"/>
      <c r="F460" s="336"/>
      <c r="G460" s="336"/>
      <c r="H460" s="336"/>
      <c r="I460" s="336"/>
      <c r="J460" s="335"/>
    </row>
    <row r="461" spans="1:10" x14ac:dyDescent="0.2">
      <c r="A461" s="46"/>
      <c r="B461" s="46"/>
      <c r="C461" s="46"/>
      <c r="D461" s="46"/>
      <c r="E461" s="336"/>
      <c r="F461" s="336"/>
      <c r="G461" s="336"/>
      <c r="H461" s="336"/>
      <c r="I461" s="336"/>
      <c r="J461" s="335"/>
    </row>
    <row r="462" spans="1:10" x14ac:dyDescent="0.2">
      <c r="A462" s="46"/>
      <c r="B462" s="46"/>
      <c r="C462" s="46"/>
      <c r="D462" s="46"/>
      <c r="E462" s="336"/>
      <c r="F462" s="336"/>
      <c r="G462" s="336"/>
      <c r="H462" s="336"/>
      <c r="I462" s="336"/>
      <c r="J462" s="335"/>
    </row>
    <row r="463" spans="1:10" x14ac:dyDescent="0.2">
      <c r="A463" s="46"/>
      <c r="B463" s="46"/>
      <c r="C463" s="46"/>
      <c r="D463" s="46"/>
      <c r="E463" s="336"/>
      <c r="F463" s="336"/>
      <c r="G463" s="336"/>
      <c r="H463" s="336"/>
      <c r="I463" s="336"/>
      <c r="J463" s="335"/>
    </row>
    <row r="464" spans="1:10" x14ac:dyDescent="0.2">
      <c r="A464" s="46"/>
      <c r="B464" s="46"/>
      <c r="C464" s="46"/>
      <c r="D464" s="46"/>
      <c r="E464" s="336"/>
      <c r="F464" s="336"/>
      <c r="G464" s="336"/>
      <c r="H464" s="336"/>
      <c r="I464" s="336"/>
      <c r="J464" s="335"/>
    </row>
    <row r="465" spans="1:10" x14ac:dyDescent="0.2">
      <c r="A465" s="46"/>
      <c r="B465" s="46"/>
      <c r="C465" s="46"/>
      <c r="D465" s="46"/>
      <c r="E465" s="336"/>
      <c r="F465" s="336"/>
      <c r="G465" s="336"/>
      <c r="H465" s="336"/>
      <c r="I465" s="336"/>
      <c r="J465" s="335"/>
    </row>
    <row r="466" spans="1:10" x14ac:dyDescent="0.2">
      <c r="A466" s="46"/>
      <c r="B466" s="46"/>
      <c r="C466" s="46"/>
      <c r="D466" s="46"/>
      <c r="E466" s="336"/>
      <c r="F466" s="336"/>
      <c r="G466" s="336"/>
      <c r="H466" s="336"/>
      <c r="I466" s="336"/>
      <c r="J466" s="335"/>
    </row>
    <row r="467" spans="1:10" x14ac:dyDescent="0.2">
      <c r="A467" s="46"/>
      <c r="B467" s="46"/>
      <c r="C467" s="46"/>
      <c r="D467" s="46"/>
      <c r="E467" s="336"/>
      <c r="F467" s="336"/>
      <c r="G467" s="336"/>
      <c r="H467" s="336"/>
      <c r="I467" s="336"/>
      <c r="J467" s="335"/>
    </row>
    <row r="468" spans="1:10" x14ac:dyDescent="0.2">
      <c r="A468" s="46"/>
      <c r="B468" s="46"/>
      <c r="C468" s="46"/>
      <c r="D468" s="46"/>
      <c r="E468" s="336"/>
      <c r="F468" s="336"/>
      <c r="G468" s="336"/>
      <c r="H468" s="336"/>
      <c r="I468" s="336"/>
      <c r="J468" s="335"/>
    </row>
    <row r="469" spans="1:10" x14ac:dyDescent="0.2">
      <c r="A469" s="46"/>
      <c r="B469" s="46"/>
      <c r="C469" s="46"/>
      <c r="D469" s="46"/>
      <c r="E469" s="336"/>
      <c r="F469" s="336"/>
      <c r="G469" s="336"/>
      <c r="H469" s="336"/>
      <c r="I469" s="336"/>
      <c r="J469" s="335"/>
    </row>
    <row r="470" spans="1:10" x14ac:dyDescent="0.2">
      <c r="A470" s="46"/>
      <c r="B470" s="46"/>
      <c r="C470" s="46"/>
      <c r="D470" s="46"/>
      <c r="E470" s="336"/>
      <c r="F470" s="336"/>
      <c r="G470" s="336"/>
      <c r="H470" s="336"/>
      <c r="I470" s="336"/>
      <c r="J470" s="335"/>
    </row>
    <row r="471" spans="1:10" x14ac:dyDescent="0.2">
      <c r="A471" s="46"/>
      <c r="B471" s="46"/>
      <c r="C471" s="46"/>
      <c r="D471" s="46"/>
      <c r="E471" s="336"/>
      <c r="F471" s="336"/>
      <c r="G471" s="336"/>
      <c r="H471" s="336"/>
      <c r="I471" s="336"/>
      <c r="J471" s="335"/>
    </row>
    <row r="472" spans="1:10" x14ac:dyDescent="0.2">
      <c r="A472" s="46"/>
      <c r="B472" s="46"/>
      <c r="C472" s="46"/>
      <c r="D472" s="46"/>
      <c r="E472" s="336"/>
      <c r="F472" s="336"/>
      <c r="G472" s="336"/>
      <c r="H472" s="336"/>
      <c r="I472" s="336"/>
      <c r="J472" s="335"/>
    </row>
    <row r="473" spans="1:10" x14ac:dyDescent="0.2">
      <c r="A473" s="46"/>
      <c r="B473" s="46"/>
      <c r="C473" s="46"/>
      <c r="D473" s="46"/>
      <c r="E473" s="336"/>
      <c r="F473" s="336"/>
      <c r="G473" s="336"/>
      <c r="H473" s="336"/>
      <c r="I473" s="336"/>
      <c r="J473" s="335"/>
    </row>
    <row r="474" spans="1:10" x14ac:dyDescent="0.2">
      <c r="A474" s="46"/>
      <c r="B474" s="46"/>
      <c r="C474" s="46"/>
      <c r="D474" s="46"/>
      <c r="E474" s="336"/>
      <c r="F474" s="336"/>
      <c r="G474" s="336"/>
      <c r="H474" s="336"/>
      <c r="I474" s="336"/>
      <c r="J474" s="335"/>
    </row>
    <row r="475" spans="1:10" x14ac:dyDescent="0.2">
      <c r="A475" s="46"/>
      <c r="B475" s="46"/>
      <c r="C475" s="46"/>
      <c r="D475" s="46"/>
      <c r="E475" s="336"/>
      <c r="F475" s="336"/>
      <c r="G475" s="336"/>
      <c r="H475" s="336"/>
      <c r="I475" s="336"/>
      <c r="J475" s="335"/>
    </row>
    <row r="476" spans="1:10" x14ac:dyDescent="0.2">
      <c r="A476" s="46"/>
      <c r="B476" s="46"/>
      <c r="C476" s="46"/>
      <c r="D476" s="46"/>
      <c r="E476" s="336"/>
      <c r="F476" s="336"/>
      <c r="G476" s="336"/>
      <c r="H476" s="336"/>
      <c r="I476" s="336"/>
      <c r="J476" s="335"/>
    </row>
    <row r="477" spans="1:10" x14ac:dyDescent="0.2">
      <c r="A477" s="46"/>
      <c r="B477" s="46"/>
      <c r="C477" s="46"/>
      <c r="D477" s="46"/>
      <c r="E477" s="336"/>
      <c r="F477" s="336"/>
      <c r="G477" s="336"/>
      <c r="H477" s="336"/>
      <c r="I477" s="336"/>
      <c r="J477" s="335"/>
    </row>
    <row r="478" spans="1:10" x14ac:dyDescent="0.2">
      <c r="A478" s="46"/>
      <c r="B478" s="46"/>
      <c r="C478" s="46"/>
      <c r="D478" s="46"/>
      <c r="E478" s="336"/>
      <c r="F478" s="336"/>
      <c r="G478" s="336"/>
      <c r="H478" s="336"/>
      <c r="I478" s="336"/>
      <c r="J478" s="335"/>
    </row>
    <row r="479" spans="1:10" x14ac:dyDescent="0.2">
      <c r="A479" s="46"/>
      <c r="B479" s="46"/>
      <c r="C479" s="46"/>
      <c r="D479" s="46"/>
      <c r="E479" s="336"/>
      <c r="F479" s="336"/>
      <c r="G479" s="336"/>
      <c r="H479" s="336"/>
      <c r="I479" s="336"/>
      <c r="J479" s="335"/>
    </row>
    <row r="480" spans="1:10" x14ac:dyDescent="0.2">
      <c r="A480" s="46"/>
      <c r="B480" s="46"/>
      <c r="C480" s="46"/>
      <c r="D480" s="46"/>
      <c r="E480" s="336"/>
      <c r="F480" s="336"/>
      <c r="G480" s="336"/>
      <c r="H480" s="336"/>
      <c r="I480" s="336"/>
      <c r="J480" s="335"/>
    </row>
    <row r="481" spans="1:10" x14ac:dyDescent="0.2">
      <c r="A481" s="46"/>
      <c r="B481" s="46"/>
      <c r="C481" s="46"/>
      <c r="D481" s="46"/>
      <c r="E481" s="336"/>
      <c r="F481" s="336"/>
      <c r="G481" s="336"/>
      <c r="H481" s="336"/>
      <c r="I481" s="336"/>
      <c r="J481" s="335"/>
    </row>
    <row r="482" spans="1:10" x14ac:dyDescent="0.2">
      <c r="A482" s="46"/>
      <c r="B482" s="46"/>
      <c r="C482" s="46"/>
      <c r="D482" s="46"/>
      <c r="E482" s="336"/>
      <c r="F482" s="336"/>
      <c r="G482" s="336"/>
      <c r="H482" s="336"/>
      <c r="I482" s="336"/>
      <c r="J482" s="335"/>
    </row>
    <row r="483" spans="1:10" x14ac:dyDescent="0.2">
      <c r="A483" s="46"/>
      <c r="B483" s="46"/>
      <c r="C483" s="46"/>
      <c r="D483" s="46"/>
      <c r="E483" s="336"/>
      <c r="F483" s="336"/>
      <c r="G483" s="336"/>
      <c r="H483" s="336"/>
      <c r="I483" s="336"/>
      <c r="J483" s="335"/>
    </row>
    <row r="484" spans="1:10" x14ac:dyDescent="0.2">
      <c r="E484" s="336"/>
      <c r="F484" s="336"/>
      <c r="G484" s="336"/>
      <c r="H484" s="336"/>
      <c r="I484" s="336"/>
      <c r="J484" s="335"/>
    </row>
    <row r="485" spans="1:10" x14ac:dyDescent="0.2">
      <c r="E485" s="336"/>
      <c r="F485" s="336"/>
      <c r="G485" s="336"/>
      <c r="H485" s="336"/>
      <c r="I485" s="336"/>
      <c r="J485" s="335"/>
    </row>
    <row r="486" spans="1:10" x14ac:dyDescent="0.2">
      <c r="E486" s="336"/>
      <c r="F486" s="336"/>
      <c r="G486" s="336"/>
      <c r="H486" s="336"/>
      <c r="I486" s="336"/>
      <c r="J486" s="335"/>
    </row>
    <row r="487" spans="1:10" x14ac:dyDescent="0.2">
      <c r="E487" s="336"/>
      <c r="F487" s="336"/>
      <c r="G487" s="336"/>
      <c r="H487" s="336"/>
      <c r="I487" s="336"/>
      <c r="J487" s="335"/>
    </row>
    <row r="488" spans="1:10" x14ac:dyDescent="0.2">
      <c r="E488" s="336"/>
      <c r="F488" s="336"/>
      <c r="G488" s="336"/>
      <c r="H488" s="336"/>
      <c r="I488" s="336"/>
      <c r="J488" s="335"/>
    </row>
    <row r="489" spans="1:10" x14ac:dyDescent="0.2">
      <c r="E489" s="336"/>
      <c r="F489" s="336"/>
      <c r="G489" s="336"/>
      <c r="H489" s="336"/>
      <c r="I489" s="336"/>
      <c r="J489" s="335"/>
    </row>
    <row r="490" spans="1:10" x14ac:dyDescent="0.2">
      <c r="E490" s="336"/>
      <c r="F490" s="336"/>
      <c r="G490" s="336"/>
      <c r="H490" s="336"/>
      <c r="I490" s="336"/>
      <c r="J490" s="335"/>
    </row>
    <row r="491" spans="1:10" x14ac:dyDescent="0.2">
      <c r="E491" s="336"/>
      <c r="F491" s="336"/>
      <c r="G491" s="336"/>
      <c r="H491" s="336"/>
      <c r="I491" s="336"/>
      <c r="J491" s="335"/>
    </row>
    <row r="492" spans="1:10" x14ac:dyDescent="0.2">
      <c r="E492" s="336"/>
      <c r="F492" s="336"/>
      <c r="G492" s="336"/>
      <c r="H492" s="336"/>
      <c r="I492" s="336"/>
      <c r="J492" s="335"/>
    </row>
    <row r="493" spans="1:10" x14ac:dyDescent="0.2">
      <c r="E493" s="336"/>
      <c r="F493" s="336"/>
      <c r="G493" s="336"/>
      <c r="H493" s="336"/>
      <c r="I493" s="336"/>
      <c r="J493" s="335"/>
    </row>
    <row r="494" spans="1:10" x14ac:dyDescent="0.2">
      <c r="E494" s="336"/>
      <c r="F494" s="336"/>
      <c r="G494" s="336"/>
      <c r="H494" s="336"/>
      <c r="I494" s="336"/>
      <c r="J494" s="335"/>
    </row>
    <row r="495" spans="1:10" x14ac:dyDescent="0.2">
      <c r="E495" s="336"/>
      <c r="F495" s="336"/>
      <c r="G495" s="336"/>
      <c r="H495" s="336"/>
      <c r="I495" s="336"/>
      <c r="J495" s="335"/>
    </row>
    <row r="496" spans="1:10" x14ac:dyDescent="0.2">
      <c r="E496" s="336"/>
      <c r="F496" s="336"/>
      <c r="G496" s="336"/>
      <c r="H496" s="336"/>
      <c r="I496" s="336"/>
      <c r="J496" s="335"/>
    </row>
    <row r="497" spans="5:10" x14ac:dyDescent="0.2">
      <c r="E497" s="336"/>
      <c r="F497" s="336"/>
      <c r="G497" s="336"/>
      <c r="H497" s="336"/>
      <c r="I497" s="336"/>
      <c r="J497" s="335"/>
    </row>
    <row r="498" spans="5:10" x14ac:dyDescent="0.2">
      <c r="E498" s="336"/>
      <c r="F498" s="336"/>
      <c r="G498" s="336"/>
      <c r="H498" s="336"/>
      <c r="I498" s="336"/>
      <c r="J498" s="335"/>
    </row>
    <row r="499" spans="5:10" x14ac:dyDescent="0.2">
      <c r="E499" s="336"/>
      <c r="F499" s="336"/>
      <c r="G499" s="336"/>
      <c r="H499" s="336"/>
      <c r="I499" s="336"/>
      <c r="J499" s="335"/>
    </row>
    <row r="500" spans="5:10" x14ac:dyDescent="0.2">
      <c r="E500" s="336"/>
      <c r="F500" s="336"/>
      <c r="G500" s="336"/>
      <c r="H500" s="336"/>
      <c r="I500" s="336"/>
      <c r="J500" s="335"/>
    </row>
    <row r="501" spans="5:10" x14ac:dyDescent="0.2">
      <c r="E501" s="336"/>
      <c r="F501" s="336"/>
      <c r="G501" s="336"/>
      <c r="H501" s="336"/>
      <c r="I501" s="336"/>
      <c r="J501" s="335"/>
    </row>
    <row r="502" spans="5:10" x14ac:dyDescent="0.2">
      <c r="E502" s="336"/>
      <c r="F502" s="336"/>
      <c r="G502" s="336"/>
      <c r="H502" s="336"/>
      <c r="I502" s="336"/>
      <c r="J502" s="335"/>
    </row>
    <row r="503" spans="5:10" x14ac:dyDescent="0.2">
      <c r="E503" s="336"/>
      <c r="F503" s="336"/>
      <c r="G503" s="336"/>
      <c r="H503" s="336"/>
      <c r="I503" s="336"/>
      <c r="J503" s="335"/>
    </row>
    <row r="504" spans="5:10" x14ac:dyDescent="0.2">
      <c r="E504" s="336"/>
      <c r="F504" s="336"/>
      <c r="G504" s="336"/>
      <c r="H504" s="336"/>
      <c r="I504" s="336"/>
      <c r="J504" s="335"/>
    </row>
    <row r="505" spans="5:10" x14ac:dyDescent="0.2">
      <c r="E505" s="336"/>
      <c r="F505" s="336"/>
      <c r="G505" s="336"/>
      <c r="H505" s="336"/>
      <c r="I505" s="336"/>
      <c r="J505" s="335"/>
    </row>
    <row r="506" spans="5:10" x14ac:dyDescent="0.2">
      <c r="E506" s="336"/>
      <c r="F506" s="336"/>
      <c r="G506" s="336"/>
      <c r="H506" s="336"/>
      <c r="I506" s="336"/>
      <c r="J506" s="335"/>
    </row>
    <row r="507" spans="5:10" x14ac:dyDescent="0.2">
      <c r="E507" s="336"/>
      <c r="F507" s="336"/>
      <c r="G507" s="336"/>
      <c r="H507" s="336"/>
      <c r="I507" s="336"/>
      <c r="J507" s="335"/>
    </row>
    <row r="508" spans="5:10" x14ac:dyDescent="0.2">
      <c r="E508" s="336"/>
      <c r="F508" s="336"/>
      <c r="G508" s="336"/>
      <c r="H508" s="336"/>
      <c r="I508" s="336"/>
      <c r="J508" s="335"/>
    </row>
    <row r="509" spans="5:10" x14ac:dyDescent="0.2">
      <c r="E509" s="336"/>
      <c r="F509" s="336"/>
      <c r="G509" s="336"/>
      <c r="H509" s="336"/>
      <c r="I509" s="336"/>
      <c r="J509" s="335"/>
    </row>
    <row r="510" spans="5:10" x14ac:dyDescent="0.2">
      <c r="E510" s="336"/>
      <c r="F510" s="336"/>
      <c r="G510" s="336"/>
      <c r="H510" s="336"/>
      <c r="I510" s="336"/>
      <c r="J510" s="335"/>
    </row>
    <row r="511" spans="5:10" x14ac:dyDescent="0.2">
      <c r="E511" s="336"/>
      <c r="F511" s="336"/>
      <c r="G511" s="336"/>
      <c r="H511" s="336"/>
      <c r="I511" s="336"/>
      <c r="J511" s="335"/>
    </row>
    <row r="512" spans="5:10" x14ac:dyDescent="0.2">
      <c r="E512" s="336"/>
      <c r="F512" s="336"/>
      <c r="G512" s="336"/>
      <c r="H512" s="336"/>
      <c r="I512" s="336"/>
      <c r="J512" s="335"/>
    </row>
    <row r="513" spans="5:10" x14ac:dyDescent="0.2">
      <c r="E513" s="336"/>
      <c r="F513" s="336"/>
      <c r="G513" s="336"/>
      <c r="H513" s="336"/>
      <c r="I513" s="336"/>
      <c r="J513" s="335"/>
    </row>
    <row r="514" spans="5:10" x14ac:dyDescent="0.2">
      <c r="E514" s="336"/>
      <c r="F514" s="336"/>
      <c r="G514" s="336"/>
      <c r="H514" s="336"/>
      <c r="I514" s="336"/>
      <c r="J514" s="335"/>
    </row>
    <row r="515" spans="5:10" x14ac:dyDescent="0.2">
      <c r="E515" s="336"/>
      <c r="F515" s="336"/>
      <c r="G515" s="336"/>
      <c r="H515" s="336"/>
      <c r="I515" s="336"/>
      <c r="J515" s="335"/>
    </row>
    <row r="516" spans="5:10" x14ac:dyDescent="0.2">
      <c r="E516" s="336"/>
      <c r="F516" s="336"/>
      <c r="G516" s="336"/>
      <c r="H516" s="336"/>
      <c r="I516" s="336"/>
      <c r="J516" s="335"/>
    </row>
    <row r="517" spans="5:10" x14ac:dyDescent="0.2">
      <c r="E517" s="336"/>
      <c r="F517" s="336"/>
      <c r="G517" s="336"/>
      <c r="H517" s="336"/>
      <c r="I517" s="336"/>
      <c r="J517" s="335"/>
    </row>
    <row r="518" spans="5:10" x14ac:dyDescent="0.2">
      <c r="E518" s="336"/>
      <c r="F518" s="336"/>
      <c r="G518" s="336"/>
      <c r="H518" s="336"/>
      <c r="I518" s="336"/>
      <c r="J518" s="335"/>
    </row>
    <row r="519" spans="5:10" x14ac:dyDescent="0.2">
      <c r="E519" s="336"/>
      <c r="F519" s="336"/>
      <c r="G519" s="336"/>
      <c r="H519" s="336"/>
      <c r="I519" s="336"/>
      <c r="J519" s="335"/>
    </row>
    <row r="520" spans="5:10" x14ac:dyDescent="0.2">
      <c r="E520" s="336"/>
      <c r="F520" s="336"/>
      <c r="G520" s="336"/>
      <c r="H520" s="336"/>
      <c r="I520" s="336"/>
      <c r="J520" s="335"/>
    </row>
    <row r="521" spans="5:10" x14ac:dyDescent="0.2">
      <c r="E521" s="336"/>
      <c r="F521" s="336"/>
      <c r="G521" s="336"/>
      <c r="H521" s="336"/>
      <c r="I521" s="336"/>
      <c r="J521" s="335"/>
    </row>
    <row r="522" spans="5:10" x14ac:dyDescent="0.2">
      <c r="E522" s="336"/>
      <c r="F522" s="336"/>
      <c r="G522" s="336"/>
      <c r="H522" s="336"/>
      <c r="I522" s="336"/>
      <c r="J522" s="335"/>
    </row>
    <row r="523" spans="5:10" x14ac:dyDescent="0.2">
      <c r="E523" s="336"/>
      <c r="F523" s="336"/>
      <c r="G523" s="336"/>
      <c r="H523" s="336"/>
      <c r="I523" s="336"/>
      <c r="J523" s="335"/>
    </row>
    <row r="524" spans="5:10" x14ac:dyDescent="0.2">
      <c r="E524" s="336"/>
      <c r="F524" s="336"/>
      <c r="G524" s="336"/>
      <c r="H524" s="336"/>
      <c r="I524" s="336"/>
      <c r="J524" s="335"/>
    </row>
    <row r="525" spans="5:10" x14ac:dyDescent="0.2">
      <c r="E525" s="336"/>
      <c r="F525" s="336"/>
      <c r="G525" s="336"/>
      <c r="H525" s="336"/>
      <c r="I525" s="336"/>
      <c r="J525" s="335"/>
    </row>
    <row r="526" spans="5:10" x14ac:dyDescent="0.2">
      <c r="E526" s="336"/>
      <c r="F526" s="336"/>
      <c r="G526" s="336"/>
      <c r="H526" s="336"/>
      <c r="I526" s="336"/>
      <c r="J526" s="335"/>
    </row>
    <row r="527" spans="5:10" x14ac:dyDescent="0.2">
      <c r="E527" s="336"/>
      <c r="F527" s="336"/>
      <c r="G527" s="336"/>
      <c r="H527" s="336"/>
      <c r="I527" s="336"/>
      <c r="J527" s="335"/>
    </row>
    <row r="528" spans="5:10" x14ac:dyDescent="0.2">
      <c r="E528" s="336"/>
      <c r="F528" s="336"/>
      <c r="G528" s="336"/>
      <c r="H528" s="336"/>
      <c r="I528" s="336"/>
      <c r="J528" s="335"/>
    </row>
    <row r="529" spans="5:10" x14ac:dyDescent="0.2">
      <c r="E529" s="336"/>
      <c r="F529" s="336"/>
      <c r="G529" s="336"/>
      <c r="H529" s="336"/>
      <c r="I529" s="336"/>
      <c r="J529" s="335"/>
    </row>
    <row r="530" spans="5:10" x14ac:dyDescent="0.2">
      <c r="E530" s="336"/>
      <c r="F530" s="336"/>
      <c r="G530" s="336"/>
      <c r="H530" s="336"/>
      <c r="I530" s="336"/>
      <c r="J530" s="335"/>
    </row>
    <row r="531" spans="5:10" x14ac:dyDescent="0.2">
      <c r="E531" s="336"/>
      <c r="F531" s="336"/>
      <c r="G531" s="336"/>
      <c r="H531" s="336"/>
      <c r="I531" s="336"/>
      <c r="J531" s="335"/>
    </row>
    <row r="532" spans="5:10" x14ac:dyDescent="0.2">
      <c r="E532" s="336"/>
      <c r="F532" s="336"/>
      <c r="G532" s="336"/>
      <c r="H532" s="336"/>
      <c r="I532" s="336"/>
      <c r="J532" s="335"/>
    </row>
    <row r="533" spans="5:10" x14ac:dyDescent="0.2">
      <c r="E533" s="336"/>
      <c r="F533" s="336"/>
      <c r="G533" s="336"/>
      <c r="H533" s="336"/>
      <c r="I533" s="336"/>
      <c r="J533" s="335"/>
    </row>
    <row r="534" spans="5:10" x14ac:dyDescent="0.2">
      <c r="E534" s="336"/>
      <c r="F534" s="336"/>
      <c r="G534" s="336"/>
      <c r="H534" s="336"/>
      <c r="I534" s="336"/>
      <c r="J534" s="335"/>
    </row>
    <row r="535" spans="5:10" x14ac:dyDescent="0.2">
      <c r="E535" s="336"/>
      <c r="F535" s="336"/>
      <c r="G535" s="336"/>
      <c r="H535" s="336"/>
      <c r="I535" s="336"/>
      <c r="J535" s="335"/>
    </row>
    <row r="536" spans="5:10" x14ac:dyDescent="0.2">
      <c r="E536" s="336"/>
      <c r="F536" s="336"/>
      <c r="G536" s="336"/>
      <c r="H536" s="336"/>
      <c r="I536" s="336"/>
      <c r="J536" s="335"/>
    </row>
    <row r="537" spans="5:10" x14ac:dyDescent="0.2">
      <c r="E537" s="336"/>
      <c r="F537" s="336"/>
      <c r="G537" s="336"/>
      <c r="H537" s="336"/>
      <c r="I537" s="336"/>
      <c r="J537" s="335"/>
    </row>
    <row r="538" spans="5:10" x14ac:dyDescent="0.2">
      <c r="E538" s="336"/>
      <c r="F538" s="336"/>
      <c r="G538" s="336"/>
      <c r="H538" s="336"/>
      <c r="I538" s="336"/>
      <c r="J538" s="335"/>
    </row>
    <row r="539" spans="5:10" x14ac:dyDescent="0.2">
      <c r="E539" s="336"/>
      <c r="F539" s="336"/>
      <c r="G539" s="336"/>
      <c r="H539" s="336"/>
      <c r="I539" s="336"/>
      <c r="J539" s="335"/>
    </row>
    <row r="540" spans="5:10" x14ac:dyDescent="0.2">
      <c r="E540" s="336"/>
      <c r="F540" s="336"/>
      <c r="G540" s="336"/>
      <c r="H540" s="336"/>
      <c r="I540" s="336"/>
      <c r="J540" s="335"/>
    </row>
    <row r="541" spans="5:10" x14ac:dyDescent="0.2">
      <c r="E541" s="336"/>
      <c r="F541" s="336"/>
      <c r="G541" s="336"/>
      <c r="H541" s="336"/>
      <c r="I541" s="336"/>
      <c r="J541" s="335"/>
    </row>
    <row r="542" spans="5:10" x14ac:dyDescent="0.2">
      <c r="E542" s="336"/>
      <c r="F542" s="336"/>
      <c r="G542" s="336"/>
      <c r="H542" s="336"/>
      <c r="I542" s="336"/>
      <c r="J542" s="335"/>
    </row>
    <row r="543" spans="5:10" x14ac:dyDescent="0.2">
      <c r="E543" s="336"/>
      <c r="F543" s="336"/>
      <c r="G543" s="336"/>
      <c r="H543" s="336"/>
      <c r="I543" s="336"/>
      <c r="J543" s="335"/>
    </row>
    <row r="544" spans="5:10" x14ac:dyDescent="0.2">
      <c r="E544" s="336"/>
      <c r="F544" s="336"/>
      <c r="G544" s="336"/>
      <c r="H544" s="336"/>
      <c r="I544" s="336"/>
      <c r="J544" s="335"/>
    </row>
    <row r="545" spans="5:10" x14ac:dyDescent="0.2">
      <c r="E545" s="336"/>
      <c r="F545" s="336"/>
      <c r="G545" s="336"/>
      <c r="H545" s="336"/>
      <c r="I545" s="336"/>
      <c r="J545" s="335"/>
    </row>
    <row r="546" spans="5:10" x14ac:dyDescent="0.2">
      <c r="E546" s="336"/>
      <c r="F546" s="336"/>
      <c r="G546" s="336"/>
      <c r="H546" s="336"/>
      <c r="I546" s="336"/>
      <c r="J546" s="335"/>
    </row>
    <row r="547" spans="5:10" x14ac:dyDescent="0.2">
      <c r="E547" s="336"/>
      <c r="F547" s="336"/>
      <c r="G547" s="336"/>
      <c r="H547" s="336"/>
      <c r="I547" s="336"/>
      <c r="J547" s="335"/>
    </row>
    <row r="548" spans="5:10" x14ac:dyDescent="0.2">
      <c r="E548" s="336"/>
      <c r="F548" s="336"/>
      <c r="G548" s="336"/>
      <c r="H548" s="336"/>
      <c r="I548" s="336"/>
      <c r="J548" s="335"/>
    </row>
    <row r="549" spans="5:10" x14ac:dyDescent="0.2">
      <c r="E549" s="336"/>
      <c r="F549" s="336"/>
      <c r="G549" s="336"/>
      <c r="H549" s="336"/>
      <c r="I549" s="336"/>
      <c r="J549" s="335"/>
    </row>
    <row r="550" spans="5:10" x14ac:dyDescent="0.2">
      <c r="E550" s="336"/>
      <c r="F550" s="336"/>
      <c r="G550" s="336"/>
      <c r="H550" s="336"/>
      <c r="I550" s="336"/>
      <c r="J550" s="335"/>
    </row>
    <row r="551" spans="5:10" x14ac:dyDescent="0.2">
      <c r="E551" s="336"/>
      <c r="F551" s="336"/>
      <c r="G551" s="336"/>
      <c r="H551" s="336"/>
      <c r="I551" s="336"/>
      <c r="J551" s="335"/>
    </row>
    <row r="552" spans="5:10" x14ac:dyDescent="0.2">
      <c r="E552" s="336"/>
      <c r="F552" s="336"/>
      <c r="G552" s="336"/>
      <c r="H552" s="336"/>
      <c r="I552" s="336"/>
      <c r="J552" s="335"/>
    </row>
    <row r="553" spans="5:10" x14ac:dyDescent="0.2">
      <c r="E553" s="336"/>
      <c r="F553" s="336"/>
      <c r="G553" s="336"/>
      <c r="H553" s="336"/>
      <c r="I553" s="336"/>
      <c r="J553" s="335"/>
    </row>
    <row r="554" spans="5:10" x14ac:dyDescent="0.2">
      <c r="E554" s="336"/>
      <c r="F554" s="336"/>
      <c r="G554" s="336"/>
      <c r="H554" s="336"/>
      <c r="I554" s="336"/>
      <c r="J554" s="335"/>
    </row>
    <row r="555" spans="5:10" x14ac:dyDescent="0.2">
      <c r="E555" s="336"/>
      <c r="F555" s="336"/>
      <c r="G555" s="336"/>
      <c r="H555" s="336"/>
      <c r="I555" s="336"/>
      <c r="J555" s="335"/>
    </row>
    <row r="556" spans="5:10" x14ac:dyDescent="0.2">
      <c r="E556" s="336"/>
      <c r="F556" s="336"/>
      <c r="G556" s="336"/>
      <c r="H556" s="336"/>
      <c r="I556" s="336"/>
      <c r="J556" s="335"/>
    </row>
    <row r="557" spans="5:10" x14ac:dyDescent="0.2">
      <c r="E557" s="336"/>
      <c r="F557" s="336"/>
      <c r="G557" s="336"/>
      <c r="H557" s="336"/>
      <c r="I557" s="336"/>
      <c r="J557" s="335"/>
    </row>
    <row r="558" spans="5:10" x14ac:dyDescent="0.2">
      <c r="E558" s="336"/>
      <c r="F558" s="336"/>
      <c r="G558" s="336"/>
      <c r="H558" s="336"/>
      <c r="I558" s="336"/>
      <c r="J558" s="335"/>
    </row>
    <row r="559" spans="5:10" x14ac:dyDescent="0.2">
      <c r="E559" s="336"/>
      <c r="F559" s="336"/>
      <c r="G559" s="336"/>
      <c r="H559" s="336"/>
      <c r="I559" s="336"/>
      <c r="J559" s="335"/>
    </row>
    <row r="560" spans="5:10" x14ac:dyDescent="0.2">
      <c r="E560" s="336"/>
      <c r="F560" s="336"/>
      <c r="G560" s="336"/>
      <c r="H560" s="336"/>
      <c r="I560" s="336"/>
      <c r="J560" s="335"/>
    </row>
    <row r="561" spans="5:10" x14ac:dyDescent="0.2">
      <c r="E561" s="336"/>
      <c r="F561" s="336"/>
      <c r="G561" s="336"/>
      <c r="H561" s="336"/>
      <c r="I561" s="336"/>
      <c r="J561" s="335"/>
    </row>
    <row r="562" spans="5:10" x14ac:dyDescent="0.2">
      <c r="E562" s="336"/>
      <c r="F562" s="336"/>
      <c r="G562" s="336"/>
      <c r="H562" s="336"/>
      <c r="I562" s="336"/>
      <c r="J562" s="335"/>
    </row>
    <row r="563" spans="5:10" x14ac:dyDescent="0.2">
      <c r="E563" s="336"/>
      <c r="F563" s="336"/>
      <c r="G563" s="336"/>
      <c r="H563" s="336"/>
      <c r="I563" s="336"/>
      <c r="J563" s="335"/>
    </row>
    <row r="564" spans="5:10" x14ac:dyDescent="0.2">
      <c r="E564" s="336"/>
      <c r="F564" s="336"/>
      <c r="G564" s="336"/>
      <c r="H564" s="336"/>
      <c r="I564" s="336"/>
      <c r="J564" s="335"/>
    </row>
    <row r="565" spans="5:10" x14ac:dyDescent="0.2">
      <c r="E565" s="336"/>
      <c r="F565" s="336"/>
      <c r="G565" s="336"/>
      <c r="H565" s="336"/>
      <c r="I565" s="336"/>
      <c r="J565" s="335"/>
    </row>
    <row r="566" spans="5:10" x14ac:dyDescent="0.2">
      <c r="E566" s="336"/>
      <c r="F566" s="336"/>
      <c r="G566" s="336"/>
      <c r="H566" s="336"/>
      <c r="I566" s="336"/>
      <c r="J566" s="335"/>
    </row>
    <row r="567" spans="5:10" x14ac:dyDescent="0.2">
      <c r="E567" s="336"/>
      <c r="F567" s="336"/>
      <c r="G567" s="336"/>
      <c r="H567" s="336"/>
      <c r="I567" s="336"/>
      <c r="J567" s="335"/>
    </row>
    <row r="568" spans="5:10" x14ac:dyDescent="0.2">
      <c r="E568" s="336"/>
      <c r="F568" s="336"/>
      <c r="G568" s="336"/>
      <c r="H568" s="336"/>
      <c r="I568" s="336"/>
      <c r="J568" s="335"/>
    </row>
    <row r="569" spans="5:10" x14ac:dyDescent="0.2">
      <c r="E569" s="336"/>
      <c r="F569" s="336"/>
      <c r="G569" s="336"/>
      <c r="H569" s="336"/>
      <c r="I569" s="336"/>
      <c r="J569" s="335"/>
    </row>
    <row r="570" spans="5:10" x14ac:dyDescent="0.2">
      <c r="E570" s="336"/>
      <c r="F570" s="336"/>
      <c r="G570" s="336"/>
      <c r="H570" s="336"/>
      <c r="I570" s="336"/>
      <c r="J570" s="335"/>
    </row>
    <row r="571" spans="5:10" x14ac:dyDescent="0.2">
      <c r="E571" s="336"/>
      <c r="F571" s="336"/>
      <c r="G571" s="336"/>
      <c r="H571" s="336"/>
      <c r="I571" s="336"/>
      <c r="J571" s="335"/>
    </row>
    <row r="572" spans="5:10" x14ac:dyDescent="0.2">
      <c r="E572" s="336"/>
      <c r="F572" s="336"/>
      <c r="G572" s="336"/>
      <c r="H572" s="336"/>
      <c r="I572" s="336"/>
      <c r="J572" s="335"/>
    </row>
    <row r="573" spans="5:10" x14ac:dyDescent="0.2">
      <c r="E573" s="336"/>
      <c r="F573" s="336"/>
      <c r="G573" s="336"/>
      <c r="H573" s="336"/>
      <c r="I573" s="336"/>
      <c r="J573" s="335"/>
    </row>
    <row r="574" spans="5:10" x14ac:dyDescent="0.2">
      <c r="E574" s="336"/>
      <c r="F574" s="336"/>
      <c r="G574" s="336"/>
      <c r="H574" s="336"/>
      <c r="I574" s="336"/>
      <c r="J574" s="335"/>
    </row>
    <row r="575" spans="5:10" x14ac:dyDescent="0.2">
      <c r="E575" s="336"/>
      <c r="F575" s="336"/>
      <c r="G575" s="336"/>
      <c r="H575" s="336"/>
      <c r="I575" s="336"/>
      <c r="J575" s="335"/>
    </row>
    <row r="576" spans="5:10" x14ac:dyDescent="0.2">
      <c r="E576" s="336"/>
      <c r="F576" s="336"/>
      <c r="G576" s="336"/>
      <c r="H576" s="336"/>
      <c r="I576" s="336"/>
      <c r="J576" s="335"/>
    </row>
    <row r="577" spans="5:10" x14ac:dyDescent="0.2">
      <c r="E577" s="336"/>
      <c r="F577" s="336"/>
      <c r="G577" s="336"/>
      <c r="H577" s="336"/>
      <c r="I577" s="336"/>
      <c r="J577" s="335"/>
    </row>
    <row r="578" spans="5:10" x14ac:dyDescent="0.2">
      <c r="E578" s="336"/>
      <c r="F578" s="336"/>
      <c r="G578" s="336"/>
      <c r="H578" s="336"/>
      <c r="I578" s="336"/>
      <c r="J578" s="335"/>
    </row>
    <row r="579" spans="5:10" x14ac:dyDescent="0.2">
      <c r="E579" s="336"/>
      <c r="F579" s="336"/>
      <c r="G579" s="336"/>
      <c r="H579" s="336"/>
      <c r="I579" s="336"/>
      <c r="J579" s="335"/>
    </row>
    <row r="580" spans="5:10" x14ac:dyDescent="0.2">
      <c r="E580" s="336"/>
      <c r="F580" s="336"/>
      <c r="G580" s="336"/>
      <c r="H580" s="336"/>
      <c r="I580" s="336"/>
      <c r="J580" s="335"/>
    </row>
    <row r="581" spans="5:10" x14ac:dyDescent="0.2">
      <c r="E581" s="336"/>
      <c r="F581" s="336"/>
      <c r="G581" s="336"/>
      <c r="H581" s="336"/>
      <c r="I581" s="336"/>
      <c r="J581" s="335"/>
    </row>
    <row r="582" spans="5:10" x14ac:dyDescent="0.2">
      <c r="E582" s="336"/>
      <c r="F582" s="336"/>
      <c r="G582" s="336"/>
      <c r="H582" s="336"/>
      <c r="I582" s="336"/>
      <c r="J582" s="335"/>
    </row>
    <row r="583" spans="5:10" x14ac:dyDescent="0.2">
      <c r="E583" s="336"/>
      <c r="F583" s="336"/>
      <c r="G583" s="336"/>
      <c r="H583" s="336"/>
      <c r="I583" s="336"/>
      <c r="J583" s="335"/>
    </row>
    <row r="584" spans="5:10" x14ac:dyDescent="0.2">
      <c r="E584" s="336"/>
      <c r="F584" s="336"/>
      <c r="G584" s="336"/>
      <c r="H584" s="336"/>
      <c r="I584" s="336"/>
      <c r="J584" s="335"/>
    </row>
    <row r="585" spans="5:10" x14ac:dyDescent="0.2">
      <c r="E585" s="336"/>
      <c r="F585" s="336"/>
      <c r="G585" s="336"/>
      <c r="H585" s="336"/>
      <c r="I585" s="336"/>
      <c r="J585" s="335"/>
    </row>
    <row r="586" spans="5:10" x14ac:dyDescent="0.2">
      <c r="E586" s="336"/>
      <c r="F586" s="336"/>
      <c r="G586" s="336"/>
      <c r="H586" s="336"/>
      <c r="I586" s="336"/>
      <c r="J586" s="335"/>
    </row>
    <row r="587" spans="5:10" x14ac:dyDescent="0.2">
      <c r="E587" s="336"/>
      <c r="F587" s="336"/>
      <c r="G587" s="336"/>
      <c r="H587" s="336"/>
      <c r="I587" s="336"/>
      <c r="J587" s="335"/>
    </row>
    <row r="588" spans="5:10" x14ac:dyDescent="0.2">
      <c r="E588" s="336"/>
      <c r="F588" s="336"/>
      <c r="G588" s="336"/>
      <c r="H588" s="336"/>
      <c r="I588" s="336"/>
      <c r="J588" s="335"/>
    </row>
    <row r="589" spans="5:10" x14ac:dyDescent="0.2">
      <c r="E589" s="336"/>
      <c r="F589" s="336"/>
      <c r="G589" s="336"/>
      <c r="H589" s="336"/>
      <c r="I589" s="336"/>
      <c r="J589" s="335"/>
    </row>
    <row r="590" spans="5:10" x14ac:dyDescent="0.2">
      <c r="E590" s="336"/>
      <c r="F590" s="336"/>
      <c r="G590" s="336"/>
      <c r="H590" s="336"/>
      <c r="I590" s="336"/>
      <c r="J590" s="335"/>
    </row>
    <row r="591" spans="5:10" x14ac:dyDescent="0.2">
      <c r="E591" s="336"/>
      <c r="F591" s="336"/>
      <c r="G591" s="336"/>
      <c r="H591" s="336"/>
      <c r="I591" s="336"/>
      <c r="J591" s="335"/>
    </row>
    <row r="592" spans="5:10" x14ac:dyDescent="0.2">
      <c r="E592" s="336"/>
      <c r="F592" s="336"/>
      <c r="G592" s="336"/>
      <c r="H592" s="336"/>
      <c r="I592" s="336"/>
      <c r="J592" s="335"/>
    </row>
    <row r="593" spans="5:10" x14ac:dyDescent="0.2">
      <c r="E593" s="336"/>
      <c r="F593" s="336"/>
      <c r="G593" s="336"/>
      <c r="H593" s="336"/>
      <c r="I593" s="336"/>
      <c r="J593" s="335"/>
    </row>
    <row r="594" spans="5:10" x14ac:dyDescent="0.2">
      <c r="E594" s="336"/>
      <c r="F594" s="336"/>
      <c r="G594" s="336"/>
      <c r="H594" s="336"/>
      <c r="I594" s="336"/>
      <c r="J594" s="335"/>
    </row>
    <row r="595" spans="5:10" x14ac:dyDescent="0.2">
      <c r="E595" s="336"/>
      <c r="F595" s="336"/>
      <c r="G595" s="336"/>
      <c r="H595" s="336"/>
      <c r="I595" s="336"/>
      <c r="J595" s="335"/>
    </row>
    <row r="596" spans="5:10" x14ac:dyDescent="0.2">
      <c r="E596" s="336"/>
      <c r="F596" s="336"/>
      <c r="G596" s="336"/>
      <c r="H596" s="336"/>
      <c r="I596" s="336"/>
      <c r="J596" s="335"/>
    </row>
    <row r="597" spans="5:10" x14ac:dyDescent="0.2">
      <c r="E597" s="336"/>
      <c r="F597" s="336"/>
      <c r="G597" s="336"/>
      <c r="H597" s="336"/>
      <c r="I597" s="336"/>
      <c r="J597" s="335"/>
    </row>
    <row r="598" spans="5:10" x14ac:dyDescent="0.2">
      <c r="E598" s="336"/>
      <c r="F598" s="336"/>
      <c r="G598" s="336"/>
      <c r="H598" s="336"/>
      <c r="I598" s="336"/>
      <c r="J598" s="335"/>
    </row>
    <row r="599" spans="5:10" x14ac:dyDescent="0.2">
      <c r="E599" s="336"/>
      <c r="F599" s="336"/>
      <c r="G599" s="336"/>
      <c r="H599" s="336"/>
      <c r="I599" s="336"/>
      <c r="J599" s="335"/>
    </row>
    <row r="600" spans="5:10" x14ac:dyDescent="0.2">
      <c r="E600" s="336"/>
      <c r="F600" s="336"/>
      <c r="G600" s="336"/>
      <c r="H600" s="336"/>
      <c r="I600" s="336"/>
      <c r="J600" s="335"/>
    </row>
    <row r="601" spans="5:10" x14ac:dyDescent="0.2">
      <c r="E601" s="336"/>
      <c r="F601" s="336"/>
      <c r="G601" s="336"/>
      <c r="H601" s="336"/>
      <c r="I601" s="336"/>
      <c r="J601" s="335"/>
    </row>
    <row r="602" spans="5:10" x14ac:dyDescent="0.2">
      <c r="E602" s="336"/>
      <c r="F602" s="336"/>
      <c r="G602" s="336"/>
      <c r="H602" s="336"/>
      <c r="I602" s="336"/>
      <c r="J602" s="335"/>
    </row>
    <row r="603" spans="5:10" x14ac:dyDescent="0.2">
      <c r="E603" s="336"/>
      <c r="F603" s="336"/>
      <c r="G603" s="336"/>
      <c r="H603" s="336"/>
      <c r="I603" s="336"/>
      <c r="J603" s="335"/>
    </row>
    <row r="604" spans="5:10" x14ac:dyDescent="0.2">
      <c r="E604" s="336"/>
      <c r="F604" s="336"/>
      <c r="G604" s="336"/>
      <c r="H604" s="336"/>
      <c r="I604" s="336"/>
      <c r="J604" s="335"/>
    </row>
    <row r="605" spans="5:10" x14ac:dyDescent="0.2">
      <c r="E605" s="336"/>
      <c r="F605" s="336"/>
      <c r="G605" s="336"/>
      <c r="H605" s="336"/>
      <c r="I605" s="336"/>
      <c r="J605" s="335"/>
    </row>
    <row r="606" spans="5:10" x14ac:dyDescent="0.2">
      <c r="E606" s="336"/>
      <c r="F606" s="336"/>
      <c r="G606" s="336"/>
      <c r="H606" s="336"/>
      <c r="I606" s="336"/>
      <c r="J606" s="335"/>
    </row>
    <row r="607" spans="5:10" x14ac:dyDescent="0.2">
      <c r="E607" s="336"/>
      <c r="F607" s="336"/>
      <c r="G607" s="336"/>
      <c r="H607" s="336"/>
      <c r="I607" s="336"/>
      <c r="J607" s="335"/>
    </row>
    <row r="608" spans="5:10" x14ac:dyDescent="0.2">
      <c r="E608" s="336"/>
      <c r="F608" s="336"/>
      <c r="G608" s="336"/>
      <c r="H608" s="336"/>
      <c r="I608" s="336"/>
      <c r="J608" s="335"/>
    </row>
    <row r="609" spans="5:10" x14ac:dyDescent="0.2">
      <c r="E609" s="336"/>
      <c r="F609" s="336"/>
      <c r="G609" s="336"/>
      <c r="H609" s="336"/>
      <c r="I609" s="336"/>
      <c r="J609" s="335"/>
    </row>
    <row r="610" spans="5:10" x14ac:dyDescent="0.2">
      <c r="E610" s="336"/>
      <c r="F610" s="336"/>
      <c r="G610" s="336"/>
      <c r="H610" s="336"/>
      <c r="I610" s="336"/>
      <c r="J610" s="335"/>
    </row>
    <row r="611" spans="5:10" x14ac:dyDescent="0.2">
      <c r="E611" s="336"/>
      <c r="F611" s="336"/>
      <c r="G611" s="336"/>
      <c r="H611" s="336"/>
      <c r="I611" s="336"/>
      <c r="J611" s="335"/>
    </row>
    <row r="612" spans="5:10" x14ac:dyDescent="0.2">
      <c r="E612" s="336"/>
      <c r="F612" s="336"/>
      <c r="G612" s="336"/>
      <c r="H612" s="336"/>
      <c r="I612" s="336"/>
      <c r="J612" s="335"/>
    </row>
    <row r="613" spans="5:10" x14ac:dyDescent="0.2">
      <c r="E613" s="336"/>
      <c r="F613" s="336"/>
      <c r="G613" s="336"/>
      <c r="H613" s="336"/>
      <c r="I613" s="336"/>
      <c r="J613" s="335"/>
    </row>
    <row r="614" spans="5:10" x14ac:dyDescent="0.2">
      <c r="E614" s="336"/>
      <c r="F614" s="336"/>
      <c r="G614" s="336"/>
      <c r="H614" s="336"/>
      <c r="I614" s="336"/>
      <c r="J614" s="335"/>
    </row>
    <row r="615" spans="5:10" x14ac:dyDescent="0.2">
      <c r="E615" s="336"/>
      <c r="F615" s="336"/>
      <c r="G615" s="336"/>
      <c r="H615" s="336"/>
      <c r="I615" s="336"/>
      <c r="J615" s="335"/>
    </row>
    <row r="616" spans="5:10" x14ac:dyDescent="0.2">
      <c r="E616" s="336"/>
      <c r="F616" s="336"/>
      <c r="G616" s="336"/>
      <c r="H616" s="336"/>
      <c r="I616" s="336"/>
      <c r="J616" s="335"/>
    </row>
    <row r="617" spans="5:10" x14ac:dyDescent="0.2">
      <c r="E617" s="336"/>
      <c r="F617" s="336"/>
      <c r="G617" s="336"/>
      <c r="H617" s="336"/>
      <c r="I617" s="336"/>
      <c r="J617" s="335"/>
    </row>
    <row r="618" spans="5:10" x14ac:dyDescent="0.2">
      <c r="E618" s="336"/>
      <c r="F618" s="336"/>
      <c r="G618" s="336"/>
      <c r="H618" s="336"/>
      <c r="I618" s="336"/>
      <c r="J618" s="335"/>
    </row>
    <row r="619" spans="5:10" x14ac:dyDescent="0.2">
      <c r="E619" s="336"/>
      <c r="F619" s="336"/>
      <c r="G619" s="336"/>
      <c r="H619" s="336"/>
      <c r="I619" s="336"/>
      <c r="J619" s="335"/>
    </row>
    <row r="620" spans="5:10" x14ac:dyDescent="0.2">
      <c r="E620" s="336"/>
      <c r="F620" s="336"/>
      <c r="G620" s="336"/>
      <c r="H620" s="336"/>
      <c r="I620" s="336"/>
      <c r="J620" s="335"/>
    </row>
    <row r="621" spans="5:10" x14ac:dyDescent="0.2">
      <c r="E621" s="336"/>
      <c r="F621" s="336"/>
      <c r="G621" s="336"/>
      <c r="H621" s="336"/>
      <c r="I621" s="336"/>
      <c r="J621" s="335"/>
    </row>
    <row r="622" spans="5:10" x14ac:dyDescent="0.2">
      <c r="E622" s="336"/>
      <c r="F622" s="336"/>
      <c r="G622" s="336"/>
      <c r="H622" s="336"/>
      <c r="I622" s="336"/>
      <c r="J622" s="335"/>
    </row>
    <row r="623" spans="5:10" x14ac:dyDescent="0.2">
      <c r="E623" s="336"/>
      <c r="F623" s="336"/>
      <c r="G623" s="336"/>
      <c r="H623" s="336"/>
      <c r="I623" s="336"/>
      <c r="J623" s="335"/>
    </row>
    <row r="624" spans="5:10" x14ac:dyDescent="0.2">
      <c r="E624" s="336"/>
      <c r="F624" s="336"/>
      <c r="G624" s="336"/>
      <c r="H624" s="336"/>
      <c r="I624" s="336"/>
      <c r="J624" s="335"/>
    </row>
    <row r="625" spans="5:10" x14ac:dyDescent="0.2">
      <c r="E625" s="336"/>
      <c r="F625" s="336"/>
      <c r="G625" s="336"/>
      <c r="H625" s="336"/>
      <c r="I625" s="336"/>
      <c r="J625" s="335"/>
    </row>
    <row r="626" spans="5:10" x14ac:dyDescent="0.2">
      <c r="E626" s="336"/>
      <c r="F626" s="336"/>
      <c r="G626" s="336"/>
      <c r="H626" s="336"/>
      <c r="I626" s="336"/>
      <c r="J626" s="335"/>
    </row>
    <row r="627" spans="5:10" x14ac:dyDescent="0.2">
      <c r="E627" s="336"/>
      <c r="F627" s="336"/>
      <c r="G627" s="336"/>
      <c r="H627" s="336"/>
      <c r="I627" s="336"/>
      <c r="J627" s="335"/>
    </row>
    <row r="628" spans="5:10" x14ac:dyDescent="0.2">
      <c r="E628" s="336"/>
      <c r="F628" s="336"/>
      <c r="G628" s="336"/>
      <c r="H628" s="336"/>
      <c r="I628" s="336"/>
      <c r="J628" s="335"/>
    </row>
    <row r="629" spans="5:10" x14ac:dyDescent="0.2">
      <c r="E629" s="336"/>
      <c r="F629" s="336"/>
      <c r="G629" s="336"/>
      <c r="H629" s="336"/>
      <c r="I629" s="336"/>
      <c r="J629" s="335"/>
    </row>
    <row r="630" spans="5:10" x14ac:dyDescent="0.2">
      <c r="E630" s="336"/>
      <c r="F630" s="336"/>
      <c r="G630" s="336"/>
      <c r="H630" s="336"/>
      <c r="I630" s="336"/>
      <c r="J630" s="335"/>
    </row>
    <row r="631" spans="5:10" x14ac:dyDescent="0.2">
      <c r="E631" s="336"/>
      <c r="F631" s="336"/>
      <c r="G631" s="336"/>
      <c r="H631" s="336"/>
      <c r="I631" s="336"/>
      <c r="J631" s="335"/>
    </row>
    <row r="632" spans="5:10" x14ac:dyDescent="0.2">
      <c r="E632" s="336"/>
      <c r="F632" s="336"/>
      <c r="G632" s="336"/>
      <c r="H632" s="336"/>
      <c r="I632" s="336"/>
      <c r="J632" s="335"/>
    </row>
    <row r="633" spans="5:10" x14ac:dyDescent="0.2">
      <c r="E633" s="336"/>
      <c r="F633" s="336"/>
      <c r="G633" s="336"/>
      <c r="H633" s="336"/>
      <c r="I633" s="336"/>
      <c r="J633" s="335"/>
    </row>
    <row r="634" spans="5:10" x14ac:dyDescent="0.2">
      <c r="E634" s="336"/>
      <c r="F634" s="336"/>
      <c r="G634" s="336"/>
      <c r="H634" s="336"/>
      <c r="I634" s="336"/>
      <c r="J634" s="335"/>
    </row>
    <row r="635" spans="5:10" x14ac:dyDescent="0.2">
      <c r="E635" s="336"/>
      <c r="F635" s="336"/>
      <c r="G635" s="336"/>
      <c r="H635" s="336"/>
      <c r="I635" s="336"/>
      <c r="J635" s="335"/>
    </row>
    <row r="636" spans="5:10" x14ac:dyDescent="0.2">
      <c r="E636" s="336"/>
      <c r="F636" s="336"/>
      <c r="G636" s="336"/>
      <c r="H636" s="336"/>
      <c r="I636" s="336"/>
      <c r="J636" s="335"/>
    </row>
    <row r="637" spans="5:10" x14ac:dyDescent="0.2">
      <c r="E637" s="336"/>
      <c r="F637" s="336"/>
      <c r="G637" s="336"/>
      <c r="H637" s="336"/>
      <c r="I637" s="336"/>
      <c r="J637" s="335"/>
    </row>
    <row r="638" spans="5:10" x14ac:dyDescent="0.2">
      <c r="E638" s="336"/>
      <c r="F638" s="336"/>
      <c r="G638" s="336"/>
      <c r="H638" s="336"/>
      <c r="I638" s="336"/>
      <c r="J638" s="335"/>
    </row>
    <row r="639" spans="5:10" x14ac:dyDescent="0.2">
      <c r="E639" s="336"/>
      <c r="F639" s="336"/>
      <c r="G639" s="336"/>
      <c r="H639" s="336"/>
      <c r="I639" s="336"/>
      <c r="J639" s="335"/>
    </row>
    <row r="640" spans="5:10" x14ac:dyDescent="0.2">
      <c r="E640" s="336"/>
      <c r="F640" s="336"/>
      <c r="G640" s="336"/>
      <c r="H640" s="336"/>
      <c r="I640" s="336"/>
      <c r="J640" s="335"/>
    </row>
    <row r="641" spans="5:10" x14ac:dyDescent="0.2">
      <c r="E641" s="336"/>
      <c r="F641" s="336"/>
      <c r="G641" s="336"/>
      <c r="H641" s="336"/>
      <c r="I641" s="336"/>
      <c r="J641" s="335"/>
    </row>
    <row r="642" spans="5:10" x14ac:dyDescent="0.2">
      <c r="E642" s="336"/>
      <c r="F642" s="336"/>
      <c r="G642" s="336"/>
      <c r="H642" s="336"/>
      <c r="I642" s="336"/>
      <c r="J642" s="335"/>
    </row>
    <row r="643" spans="5:10" x14ac:dyDescent="0.2">
      <c r="E643" s="336"/>
      <c r="F643" s="336"/>
      <c r="G643" s="336"/>
      <c r="H643" s="336"/>
      <c r="I643" s="336"/>
      <c r="J643" s="335"/>
    </row>
    <row r="644" spans="5:10" x14ac:dyDescent="0.2">
      <c r="E644" s="336"/>
      <c r="F644" s="336"/>
      <c r="G644" s="336"/>
      <c r="H644" s="336"/>
      <c r="I644" s="336"/>
      <c r="J644" s="335"/>
    </row>
    <row r="645" spans="5:10" x14ac:dyDescent="0.2">
      <c r="E645" s="336"/>
      <c r="F645" s="336"/>
      <c r="G645" s="336"/>
      <c r="H645" s="336"/>
      <c r="I645" s="336"/>
      <c r="J645" s="335"/>
    </row>
    <row r="646" spans="5:10" x14ac:dyDescent="0.2">
      <c r="E646" s="336"/>
      <c r="F646" s="336"/>
      <c r="G646" s="336"/>
      <c r="H646" s="336"/>
      <c r="I646" s="336"/>
      <c r="J646" s="335"/>
    </row>
    <row r="647" spans="5:10" x14ac:dyDescent="0.2">
      <c r="E647" s="336"/>
      <c r="F647" s="336"/>
      <c r="G647" s="336"/>
      <c r="H647" s="336"/>
      <c r="I647" s="336"/>
      <c r="J647" s="335"/>
    </row>
    <row r="648" spans="5:10" x14ac:dyDescent="0.2">
      <c r="E648" s="336"/>
      <c r="F648" s="336"/>
      <c r="G648" s="336"/>
      <c r="H648" s="336"/>
      <c r="I648" s="336"/>
      <c r="J648" s="335"/>
    </row>
    <row r="649" spans="5:10" x14ac:dyDescent="0.2">
      <c r="E649" s="336"/>
      <c r="F649" s="336"/>
      <c r="G649" s="336"/>
      <c r="H649" s="336"/>
      <c r="I649" s="336"/>
      <c r="J649" s="335"/>
    </row>
    <row r="650" spans="5:10" x14ac:dyDescent="0.2">
      <c r="E650" s="336"/>
      <c r="F650" s="336"/>
      <c r="G650" s="336"/>
      <c r="H650" s="336"/>
      <c r="I650" s="336"/>
      <c r="J650" s="335"/>
    </row>
    <row r="651" spans="5:10" x14ac:dyDescent="0.2">
      <c r="E651" s="336"/>
      <c r="F651" s="336"/>
      <c r="G651" s="336"/>
      <c r="H651" s="336"/>
      <c r="I651" s="336"/>
      <c r="J651" s="335"/>
    </row>
    <row r="652" spans="5:10" x14ac:dyDescent="0.2">
      <c r="E652" s="336"/>
      <c r="F652" s="336"/>
      <c r="G652" s="336"/>
      <c r="H652" s="336"/>
      <c r="I652" s="336"/>
      <c r="J652" s="335"/>
    </row>
    <row r="653" spans="5:10" x14ac:dyDescent="0.2">
      <c r="E653" s="336"/>
      <c r="F653" s="336"/>
      <c r="G653" s="336"/>
      <c r="H653" s="336"/>
      <c r="I653" s="336"/>
      <c r="J653" s="335"/>
    </row>
    <row r="654" spans="5:10" x14ac:dyDescent="0.2">
      <c r="E654" s="336"/>
      <c r="F654" s="336"/>
      <c r="G654" s="336"/>
      <c r="H654" s="336"/>
      <c r="I654" s="336"/>
      <c r="J654" s="335"/>
    </row>
    <row r="655" spans="5:10" x14ac:dyDescent="0.2">
      <c r="E655" s="336"/>
      <c r="F655" s="336"/>
      <c r="G655" s="336"/>
      <c r="H655" s="336"/>
      <c r="I655" s="336"/>
      <c r="J655" s="335"/>
    </row>
    <row r="656" spans="5:10" x14ac:dyDescent="0.2">
      <c r="E656" s="336"/>
      <c r="F656" s="336"/>
      <c r="G656" s="336"/>
      <c r="H656" s="336"/>
      <c r="I656" s="336"/>
      <c r="J656" s="335"/>
    </row>
    <row r="657" spans="5:10" x14ac:dyDescent="0.2">
      <c r="E657" s="336"/>
      <c r="F657" s="336"/>
      <c r="G657" s="336"/>
      <c r="H657" s="336"/>
      <c r="I657" s="336"/>
      <c r="J657" s="335"/>
    </row>
    <row r="658" spans="5:10" x14ac:dyDescent="0.2">
      <c r="E658" s="336"/>
      <c r="F658" s="336"/>
      <c r="G658" s="336"/>
      <c r="H658" s="336"/>
      <c r="I658" s="336"/>
      <c r="J658" s="335"/>
    </row>
    <row r="659" spans="5:10" x14ac:dyDescent="0.2">
      <c r="E659" s="336"/>
      <c r="F659" s="336"/>
      <c r="G659" s="336"/>
      <c r="H659" s="336"/>
      <c r="I659" s="336"/>
      <c r="J659" s="335"/>
    </row>
    <row r="660" spans="5:10" x14ac:dyDescent="0.2">
      <c r="E660" s="336"/>
      <c r="F660" s="336"/>
      <c r="G660" s="336"/>
      <c r="H660" s="336"/>
      <c r="I660" s="336"/>
      <c r="J660" s="335"/>
    </row>
    <row r="661" spans="5:10" x14ac:dyDescent="0.2">
      <c r="E661" s="336"/>
      <c r="F661" s="336"/>
      <c r="G661" s="336"/>
      <c r="H661" s="336"/>
      <c r="I661" s="336"/>
      <c r="J661" s="335"/>
    </row>
    <row r="662" spans="5:10" x14ac:dyDescent="0.2">
      <c r="E662" s="336"/>
      <c r="F662" s="336"/>
      <c r="G662" s="336"/>
      <c r="H662" s="336"/>
      <c r="I662" s="336"/>
      <c r="J662" s="335"/>
    </row>
    <row r="663" spans="5:10" x14ac:dyDescent="0.2">
      <c r="E663" s="336"/>
      <c r="F663" s="336"/>
      <c r="G663" s="336"/>
      <c r="H663" s="336"/>
      <c r="I663" s="336"/>
      <c r="J663" s="335"/>
    </row>
    <row r="664" spans="5:10" x14ac:dyDescent="0.2">
      <c r="E664" s="336"/>
      <c r="F664" s="336"/>
      <c r="G664" s="336"/>
      <c r="H664" s="336"/>
      <c r="I664" s="336"/>
      <c r="J664" s="335"/>
    </row>
    <row r="665" spans="5:10" x14ac:dyDescent="0.2">
      <c r="E665" s="336"/>
      <c r="F665" s="336"/>
      <c r="G665" s="336"/>
      <c r="H665" s="336"/>
      <c r="I665" s="336"/>
      <c r="J665" s="335"/>
    </row>
    <row r="666" spans="5:10" x14ac:dyDescent="0.2">
      <c r="E666" s="336"/>
      <c r="F666" s="336"/>
      <c r="G666" s="336"/>
      <c r="H666" s="336"/>
      <c r="I666" s="336"/>
      <c r="J666" s="335"/>
    </row>
    <row r="667" spans="5:10" x14ac:dyDescent="0.2">
      <c r="E667" s="336"/>
      <c r="F667" s="336"/>
      <c r="G667" s="336"/>
      <c r="H667" s="336"/>
      <c r="I667" s="336"/>
      <c r="J667" s="335"/>
    </row>
    <row r="668" spans="5:10" x14ac:dyDescent="0.2">
      <c r="E668" s="336"/>
      <c r="F668" s="336"/>
      <c r="G668" s="336"/>
      <c r="H668" s="336"/>
      <c r="I668" s="336"/>
      <c r="J668" s="335"/>
    </row>
    <row r="669" spans="5:10" x14ac:dyDescent="0.2">
      <c r="E669" s="336"/>
      <c r="F669" s="336"/>
      <c r="G669" s="336"/>
      <c r="H669" s="336"/>
      <c r="I669" s="336"/>
      <c r="J669" s="335"/>
    </row>
    <row r="670" spans="5:10" x14ac:dyDescent="0.2">
      <c r="E670" s="336"/>
      <c r="F670" s="336"/>
      <c r="G670" s="336"/>
      <c r="H670" s="336"/>
      <c r="I670" s="336"/>
      <c r="J670" s="335"/>
    </row>
    <row r="671" spans="5:10" x14ac:dyDescent="0.2">
      <c r="E671" s="336"/>
      <c r="F671" s="336"/>
      <c r="G671" s="336"/>
      <c r="H671" s="336"/>
      <c r="I671" s="336"/>
      <c r="J671" s="335"/>
    </row>
    <row r="672" spans="5:10" x14ac:dyDescent="0.2">
      <c r="E672" s="336"/>
      <c r="F672" s="336"/>
      <c r="G672" s="336"/>
      <c r="H672" s="336"/>
      <c r="I672" s="336"/>
      <c r="J672" s="335"/>
    </row>
    <row r="673" spans="5:10" x14ac:dyDescent="0.2">
      <c r="E673" s="336"/>
      <c r="F673" s="336"/>
      <c r="G673" s="336"/>
      <c r="H673" s="336"/>
      <c r="I673" s="336"/>
      <c r="J673" s="335"/>
    </row>
    <row r="674" spans="5:10" x14ac:dyDescent="0.2">
      <c r="E674" s="336"/>
      <c r="F674" s="336"/>
      <c r="G674" s="336"/>
      <c r="H674" s="336"/>
      <c r="I674" s="336"/>
      <c r="J674" s="335"/>
    </row>
    <row r="675" spans="5:10" x14ac:dyDescent="0.2">
      <c r="E675" s="336"/>
      <c r="F675" s="336"/>
      <c r="G675" s="336"/>
      <c r="H675" s="336"/>
      <c r="I675" s="336"/>
      <c r="J675" s="335"/>
    </row>
    <row r="676" spans="5:10" x14ac:dyDescent="0.2">
      <c r="E676" s="336"/>
      <c r="F676" s="336"/>
      <c r="G676" s="336"/>
      <c r="H676" s="336"/>
      <c r="I676" s="336"/>
      <c r="J676" s="335"/>
    </row>
    <row r="677" spans="5:10" x14ac:dyDescent="0.2">
      <c r="E677" s="336"/>
      <c r="F677" s="336"/>
      <c r="G677" s="336"/>
      <c r="H677" s="336"/>
      <c r="I677" s="336"/>
      <c r="J677" s="335"/>
    </row>
    <row r="678" spans="5:10" x14ac:dyDescent="0.2">
      <c r="E678" s="336"/>
      <c r="F678" s="336"/>
      <c r="G678" s="336"/>
      <c r="H678" s="336"/>
      <c r="I678" s="336"/>
      <c r="J678" s="335"/>
    </row>
    <row r="679" spans="5:10" x14ac:dyDescent="0.2">
      <c r="E679" s="336"/>
      <c r="F679" s="336"/>
      <c r="G679" s="336"/>
      <c r="H679" s="336"/>
      <c r="I679" s="336"/>
      <c r="J679" s="335"/>
    </row>
    <row r="680" spans="5:10" x14ac:dyDescent="0.2">
      <c r="E680" s="336"/>
      <c r="F680" s="336"/>
      <c r="G680" s="336"/>
      <c r="H680" s="336"/>
      <c r="I680" s="336"/>
      <c r="J680" s="335"/>
    </row>
    <row r="681" spans="5:10" x14ac:dyDescent="0.2">
      <c r="E681" s="336"/>
      <c r="F681" s="336"/>
      <c r="G681" s="336"/>
      <c r="H681" s="336"/>
      <c r="I681" s="336"/>
      <c r="J681" s="335"/>
    </row>
    <row r="682" spans="5:10" x14ac:dyDescent="0.2">
      <c r="E682" s="336"/>
      <c r="F682" s="336"/>
      <c r="G682" s="336"/>
      <c r="H682" s="336"/>
      <c r="I682" s="336"/>
      <c r="J682" s="335"/>
    </row>
    <row r="683" spans="5:10" x14ac:dyDescent="0.2">
      <c r="E683" s="336"/>
      <c r="F683" s="336"/>
      <c r="G683" s="336"/>
      <c r="H683" s="336"/>
      <c r="I683" s="336"/>
      <c r="J683" s="335"/>
    </row>
    <row r="684" spans="5:10" x14ac:dyDescent="0.2">
      <c r="E684" s="336"/>
      <c r="F684" s="336"/>
      <c r="G684" s="336"/>
      <c r="H684" s="336"/>
      <c r="I684" s="336"/>
      <c r="J684" s="335"/>
    </row>
    <row r="685" spans="5:10" x14ac:dyDescent="0.2">
      <c r="E685" s="336"/>
      <c r="F685" s="336"/>
      <c r="G685" s="336"/>
      <c r="H685" s="336"/>
      <c r="I685" s="336"/>
      <c r="J685" s="335"/>
    </row>
    <row r="686" spans="5:10" x14ac:dyDescent="0.2">
      <c r="E686" s="336"/>
      <c r="F686" s="336"/>
      <c r="G686" s="336"/>
      <c r="H686" s="336"/>
      <c r="I686" s="336"/>
      <c r="J686" s="335"/>
    </row>
    <row r="687" spans="5:10" x14ac:dyDescent="0.2">
      <c r="E687" s="336"/>
      <c r="F687" s="336"/>
      <c r="G687" s="336"/>
      <c r="H687" s="336"/>
      <c r="I687" s="336"/>
      <c r="J687" s="335"/>
    </row>
    <row r="688" spans="5:10" x14ac:dyDescent="0.2">
      <c r="E688" s="336"/>
      <c r="F688" s="336"/>
      <c r="G688" s="336"/>
      <c r="H688" s="336"/>
      <c r="I688" s="336"/>
      <c r="J688" s="335"/>
    </row>
    <row r="689" spans="5:10" x14ac:dyDescent="0.2">
      <c r="E689" s="336"/>
      <c r="F689" s="336"/>
      <c r="G689" s="336"/>
      <c r="H689" s="336"/>
      <c r="I689" s="336"/>
      <c r="J689" s="335"/>
    </row>
    <row r="690" spans="5:10" x14ac:dyDescent="0.2">
      <c r="E690" s="336"/>
      <c r="F690" s="336"/>
      <c r="G690" s="336"/>
      <c r="H690" s="336"/>
      <c r="I690" s="336"/>
      <c r="J690" s="335"/>
    </row>
    <row r="691" spans="5:10" x14ac:dyDescent="0.2">
      <c r="E691" s="336"/>
      <c r="F691" s="336"/>
      <c r="G691" s="336"/>
      <c r="H691" s="336"/>
      <c r="I691" s="336"/>
      <c r="J691" s="335"/>
    </row>
    <row r="692" spans="5:10" x14ac:dyDescent="0.2">
      <c r="E692" s="336"/>
      <c r="F692" s="336"/>
      <c r="G692" s="336"/>
      <c r="H692" s="336"/>
      <c r="I692" s="336"/>
      <c r="J692" s="335"/>
    </row>
    <row r="693" spans="5:10" x14ac:dyDescent="0.2">
      <c r="E693" s="336"/>
      <c r="F693" s="336"/>
      <c r="G693" s="336"/>
      <c r="H693" s="336"/>
      <c r="I693" s="336"/>
      <c r="J693" s="335"/>
    </row>
    <row r="694" spans="5:10" x14ac:dyDescent="0.2">
      <c r="E694" s="336"/>
      <c r="F694" s="336"/>
      <c r="G694" s="336"/>
      <c r="H694" s="336"/>
      <c r="I694" s="336"/>
      <c r="J694" s="335"/>
    </row>
    <row r="695" spans="5:10" x14ac:dyDescent="0.2">
      <c r="E695" s="336"/>
      <c r="F695" s="336"/>
      <c r="G695" s="336"/>
      <c r="H695" s="336"/>
      <c r="I695" s="336"/>
      <c r="J695" s="335"/>
    </row>
    <row r="696" spans="5:10" x14ac:dyDescent="0.2">
      <c r="E696" s="336"/>
      <c r="F696" s="336"/>
      <c r="G696" s="336"/>
      <c r="H696" s="336"/>
      <c r="I696" s="336"/>
      <c r="J696" s="335"/>
    </row>
    <row r="697" spans="5:10" x14ac:dyDescent="0.2">
      <c r="E697" s="336"/>
      <c r="F697" s="336"/>
      <c r="G697" s="336"/>
      <c r="H697" s="336"/>
      <c r="I697" s="336"/>
      <c r="J697" s="335"/>
    </row>
    <row r="698" spans="5:10" x14ac:dyDescent="0.2">
      <c r="E698" s="336"/>
      <c r="F698" s="336"/>
      <c r="G698" s="336"/>
      <c r="H698" s="336"/>
      <c r="I698" s="336"/>
      <c r="J698" s="335"/>
    </row>
    <row r="699" spans="5:10" x14ac:dyDescent="0.2">
      <c r="E699" s="336"/>
      <c r="F699" s="336"/>
      <c r="G699" s="336"/>
      <c r="H699" s="336"/>
      <c r="I699" s="336"/>
      <c r="J699" s="335"/>
    </row>
    <row r="700" spans="5:10" x14ac:dyDescent="0.2">
      <c r="E700" s="336"/>
      <c r="F700" s="336"/>
      <c r="G700" s="336"/>
      <c r="H700" s="336"/>
      <c r="I700" s="336"/>
      <c r="J700" s="335"/>
    </row>
    <row r="701" spans="5:10" x14ac:dyDescent="0.2">
      <c r="E701" s="336"/>
      <c r="F701" s="336"/>
      <c r="G701" s="336"/>
      <c r="H701" s="336"/>
      <c r="I701" s="336"/>
      <c r="J701" s="335"/>
    </row>
    <row r="702" spans="5:10" x14ac:dyDescent="0.2">
      <c r="E702" s="336"/>
      <c r="F702" s="336"/>
      <c r="G702" s="336"/>
      <c r="H702" s="336"/>
      <c r="I702" s="336"/>
      <c r="J702" s="335"/>
    </row>
    <row r="703" spans="5:10" x14ac:dyDescent="0.2">
      <c r="E703" s="336"/>
      <c r="F703" s="336"/>
      <c r="G703" s="336"/>
      <c r="H703" s="336"/>
      <c r="I703" s="336"/>
      <c r="J703" s="335"/>
    </row>
    <row r="704" spans="5:10" x14ac:dyDescent="0.2">
      <c r="E704" s="336"/>
      <c r="F704" s="336"/>
      <c r="G704" s="336"/>
      <c r="H704" s="336"/>
      <c r="I704" s="336"/>
      <c r="J704" s="335"/>
    </row>
    <row r="705" spans="5:10" x14ac:dyDescent="0.2">
      <c r="E705" s="336"/>
      <c r="F705" s="336"/>
      <c r="G705" s="336"/>
      <c r="H705" s="336"/>
      <c r="I705" s="336"/>
      <c r="J705" s="335"/>
    </row>
    <row r="706" spans="5:10" x14ac:dyDescent="0.2">
      <c r="E706" s="336"/>
      <c r="F706" s="336"/>
      <c r="G706" s="336"/>
      <c r="H706" s="336"/>
      <c r="I706" s="336"/>
      <c r="J706" s="335"/>
    </row>
    <row r="707" spans="5:10" x14ac:dyDescent="0.2">
      <c r="E707" s="336"/>
      <c r="F707" s="336"/>
      <c r="G707" s="336"/>
      <c r="H707" s="336"/>
      <c r="I707" s="336"/>
      <c r="J707" s="335"/>
    </row>
    <row r="708" spans="5:10" x14ac:dyDescent="0.2">
      <c r="E708" s="336"/>
      <c r="F708" s="336"/>
      <c r="G708" s="336"/>
      <c r="H708" s="336"/>
      <c r="I708" s="336"/>
      <c r="J708" s="335"/>
    </row>
    <row r="709" spans="5:10" x14ac:dyDescent="0.2">
      <c r="E709" s="336"/>
      <c r="F709" s="336"/>
      <c r="G709" s="336"/>
      <c r="H709" s="336"/>
      <c r="I709" s="336"/>
      <c r="J709" s="335"/>
    </row>
    <row r="710" spans="5:10" x14ac:dyDescent="0.2">
      <c r="E710" s="336"/>
      <c r="F710" s="336"/>
      <c r="G710" s="336"/>
      <c r="H710" s="336"/>
      <c r="I710" s="336"/>
      <c r="J710" s="335"/>
    </row>
    <row r="711" spans="5:10" x14ac:dyDescent="0.2">
      <c r="E711" s="336"/>
      <c r="F711" s="336"/>
      <c r="G711" s="336"/>
      <c r="H711" s="336"/>
      <c r="I711" s="336"/>
      <c r="J711" s="335"/>
    </row>
    <row r="712" spans="5:10" x14ac:dyDescent="0.2">
      <c r="E712" s="336"/>
      <c r="F712" s="336"/>
      <c r="G712" s="336"/>
      <c r="H712" s="336"/>
      <c r="I712" s="336"/>
      <c r="J712" s="335"/>
    </row>
    <row r="713" spans="5:10" x14ac:dyDescent="0.2">
      <c r="E713" s="336"/>
      <c r="F713" s="336"/>
      <c r="G713" s="336"/>
      <c r="H713" s="336"/>
      <c r="I713" s="336"/>
      <c r="J713" s="335"/>
    </row>
    <row r="714" spans="5:10" x14ac:dyDescent="0.2">
      <c r="E714" s="336"/>
      <c r="F714" s="336"/>
      <c r="G714" s="336"/>
      <c r="H714" s="336"/>
      <c r="I714" s="336"/>
      <c r="J714" s="335"/>
    </row>
    <row r="715" spans="5:10" x14ac:dyDescent="0.2">
      <c r="E715" s="336"/>
      <c r="F715" s="336"/>
      <c r="G715" s="336"/>
      <c r="H715" s="336"/>
      <c r="I715" s="336"/>
      <c r="J715" s="335"/>
    </row>
    <row r="716" spans="5:10" x14ac:dyDescent="0.2">
      <c r="E716" s="336"/>
      <c r="F716" s="336"/>
      <c r="G716" s="336"/>
      <c r="H716" s="336"/>
      <c r="I716" s="336"/>
      <c r="J716" s="335"/>
    </row>
    <row r="717" spans="5:10" x14ac:dyDescent="0.2">
      <c r="E717" s="336"/>
      <c r="F717" s="336"/>
      <c r="G717" s="336"/>
      <c r="H717" s="336"/>
      <c r="I717" s="336"/>
      <c r="J717" s="335"/>
    </row>
    <row r="718" spans="5:10" x14ac:dyDescent="0.2">
      <c r="E718" s="336"/>
      <c r="F718" s="336"/>
      <c r="G718" s="336"/>
      <c r="H718" s="336"/>
      <c r="I718" s="336"/>
      <c r="J718" s="335"/>
    </row>
    <row r="719" spans="5:10" x14ac:dyDescent="0.2">
      <c r="E719" s="336"/>
      <c r="F719" s="336"/>
      <c r="G719" s="336"/>
      <c r="H719" s="336"/>
      <c r="I719" s="336"/>
      <c r="J719" s="335"/>
    </row>
    <row r="720" spans="5:10" x14ac:dyDescent="0.2">
      <c r="E720" s="336"/>
      <c r="F720" s="336"/>
      <c r="G720" s="336"/>
      <c r="H720" s="336"/>
      <c r="I720" s="336"/>
      <c r="J720" s="335"/>
    </row>
    <row r="721" spans="5:10" x14ac:dyDescent="0.2">
      <c r="E721" s="336"/>
      <c r="F721" s="336"/>
      <c r="G721" s="336"/>
      <c r="H721" s="336"/>
      <c r="I721" s="336"/>
      <c r="J721" s="335"/>
    </row>
    <row r="722" spans="5:10" x14ac:dyDescent="0.2">
      <c r="E722" s="336"/>
      <c r="F722" s="336"/>
      <c r="G722" s="336"/>
      <c r="H722" s="336"/>
      <c r="I722" s="336"/>
      <c r="J722" s="335"/>
    </row>
    <row r="723" spans="5:10" x14ac:dyDescent="0.2">
      <c r="E723" s="336"/>
      <c r="F723" s="336"/>
      <c r="G723" s="336"/>
      <c r="H723" s="336"/>
      <c r="I723" s="336"/>
      <c r="J723" s="335"/>
    </row>
    <row r="724" spans="5:10" x14ac:dyDescent="0.2">
      <c r="E724" s="336"/>
      <c r="F724" s="336"/>
      <c r="G724" s="336"/>
      <c r="H724" s="336"/>
      <c r="I724" s="336"/>
      <c r="J724" s="335"/>
    </row>
    <row r="725" spans="5:10" x14ac:dyDescent="0.2">
      <c r="E725" s="336"/>
      <c r="F725" s="336"/>
      <c r="G725" s="336"/>
      <c r="H725" s="336"/>
      <c r="I725" s="336"/>
      <c r="J725" s="335"/>
    </row>
    <row r="726" spans="5:10" x14ac:dyDescent="0.2">
      <c r="E726" s="336"/>
      <c r="F726" s="336"/>
      <c r="G726" s="336"/>
      <c r="H726" s="336"/>
      <c r="I726" s="336"/>
      <c r="J726" s="335"/>
    </row>
    <row r="727" spans="5:10" x14ac:dyDescent="0.2">
      <c r="E727" s="336"/>
      <c r="F727" s="336"/>
      <c r="G727" s="336"/>
      <c r="H727" s="336"/>
      <c r="I727" s="336"/>
      <c r="J727" s="335"/>
    </row>
    <row r="728" spans="5:10" x14ac:dyDescent="0.2">
      <c r="E728" s="336"/>
      <c r="F728" s="336"/>
      <c r="G728" s="336"/>
      <c r="H728" s="336"/>
      <c r="I728" s="336"/>
      <c r="J728" s="335"/>
    </row>
    <row r="729" spans="5:10" x14ac:dyDescent="0.2">
      <c r="E729" s="336"/>
      <c r="F729" s="336"/>
      <c r="G729" s="336"/>
      <c r="H729" s="336"/>
      <c r="I729" s="336"/>
      <c r="J729" s="335"/>
    </row>
    <row r="730" spans="5:10" x14ac:dyDescent="0.2">
      <c r="E730" s="336"/>
      <c r="F730" s="336"/>
      <c r="G730" s="336"/>
      <c r="H730" s="336"/>
      <c r="I730" s="336"/>
      <c r="J730" s="335"/>
    </row>
    <row r="731" spans="5:10" x14ac:dyDescent="0.2">
      <c r="E731" s="336"/>
      <c r="F731" s="336"/>
      <c r="G731" s="336"/>
      <c r="H731" s="336"/>
      <c r="I731" s="336"/>
      <c r="J731" s="335"/>
    </row>
    <row r="732" spans="5:10" x14ac:dyDescent="0.2">
      <c r="E732" s="336"/>
      <c r="F732" s="336"/>
      <c r="G732" s="336"/>
      <c r="H732" s="336"/>
      <c r="I732" s="336"/>
      <c r="J732" s="335"/>
    </row>
    <row r="733" spans="5:10" x14ac:dyDescent="0.2">
      <c r="E733" s="336"/>
      <c r="F733" s="336"/>
      <c r="G733" s="336"/>
      <c r="H733" s="336"/>
      <c r="I733" s="336"/>
      <c r="J733" s="335"/>
    </row>
    <row r="734" spans="5:10" x14ac:dyDescent="0.2">
      <c r="E734" s="336"/>
      <c r="F734" s="336"/>
      <c r="G734" s="336"/>
      <c r="H734" s="336"/>
      <c r="I734" s="336"/>
      <c r="J734" s="335"/>
    </row>
    <row r="735" spans="5:10" x14ac:dyDescent="0.2">
      <c r="E735" s="336"/>
      <c r="F735" s="336"/>
      <c r="G735" s="336"/>
      <c r="H735" s="336"/>
      <c r="I735" s="336"/>
      <c r="J735" s="335"/>
    </row>
    <row r="736" spans="5:10" x14ac:dyDescent="0.2">
      <c r="E736" s="336"/>
      <c r="F736" s="336"/>
      <c r="G736" s="336"/>
      <c r="H736" s="336"/>
      <c r="I736" s="336"/>
      <c r="J736" s="335"/>
    </row>
    <row r="737" spans="5:10" x14ac:dyDescent="0.2">
      <c r="E737" s="336"/>
      <c r="F737" s="336"/>
      <c r="G737" s="336"/>
      <c r="H737" s="336"/>
      <c r="I737" s="336"/>
      <c r="J737" s="335"/>
    </row>
    <row r="738" spans="5:10" x14ac:dyDescent="0.2">
      <c r="E738" s="336"/>
      <c r="F738" s="336"/>
      <c r="G738" s="336"/>
      <c r="H738" s="336"/>
      <c r="I738" s="336"/>
      <c r="J738" s="335"/>
    </row>
    <row r="739" spans="5:10" x14ac:dyDescent="0.2">
      <c r="E739" s="336"/>
      <c r="F739" s="336"/>
      <c r="G739" s="336"/>
      <c r="H739" s="336"/>
      <c r="I739" s="336"/>
      <c r="J739" s="335"/>
    </row>
    <row r="740" spans="5:10" x14ac:dyDescent="0.2">
      <c r="E740" s="336"/>
      <c r="F740" s="336"/>
      <c r="G740" s="336"/>
      <c r="H740" s="336"/>
      <c r="I740" s="336"/>
      <c r="J740" s="335"/>
    </row>
    <row r="741" spans="5:10" x14ac:dyDescent="0.2">
      <c r="E741" s="336"/>
      <c r="F741" s="336"/>
      <c r="G741" s="336"/>
      <c r="H741" s="336"/>
      <c r="I741" s="336"/>
      <c r="J741" s="335"/>
    </row>
    <row r="742" spans="5:10" x14ac:dyDescent="0.2">
      <c r="E742" s="336"/>
      <c r="F742" s="336"/>
      <c r="G742" s="336"/>
      <c r="H742" s="336"/>
      <c r="I742" s="336"/>
      <c r="J742" s="335"/>
    </row>
    <row r="743" spans="5:10" x14ac:dyDescent="0.2">
      <c r="E743" s="336"/>
      <c r="F743" s="336"/>
      <c r="G743" s="336"/>
      <c r="H743" s="336"/>
      <c r="I743" s="336"/>
      <c r="J743" s="335"/>
    </row>
    <row r="744" spans="5:10" x14ac:dyDescent="0.2">
      <c r="E744" s="336"/>
      <c r="F744" s="336"/>
      <c r="G744" s="336"/>
      <c r="H744" s="336"/>
      <c r="I744" s="336"/>
      <c r="J744" s="335"/>
    </row>
    <row r="745" spans="5:10" x14ac:dyDescent="0.2">
      <c r="E745" s="336"/>
      <c r="F745" s="336"/>
      <c r="G745" s="336"/>
      <c r="H745" s="336"/>
      <c r="I745" s="336"/>
      <c r="J745" s="335"/>
    </row>
    <row r="746" spans="5:10" x14ac:dyDescent="0.2">
      <c r="E746" s="336"/>
      <c r="F746" s="336"/>
      <c r="G746" s="336"/>
      <c r="H746" s="336"/>
      <c r="I746" s="336"/>
      <c r="J746" s="335"/>
    </row>
    <row r="747" spans="5:10" x14ac:dyDescent="0.2">
      <c r="E747" s="336"/>
      <c r="F747" s="336"/>
      <c r="G747" s="336"/>
      <c r="H747" s="336"/>
      <c r="I747" s="336"/>
      <c r="J747" s="335"/>
    </row>
    <row r="748" spans="5:10" x14ac:dyDescent="0.2">
      <c r="E748" s="336"/>
      <c r="F748" s="336"/>
      <c r="G748" s="336"/>
      <c r="H748" s="336"/>
      <c r="I748" s="336"/>
      <c r="J748" s="335"/>
    </row>
    <row r="749" spans="5:10" x14ac:dyDescent="0.2">
      <c r="E749" s="336"/>
      <c r="F749" s="336"/>
      <c r="G749" s="336"/>
      <c r="H749" s="336"/>
      <c r="I749" s="336"/>
      <c r="J749" s="335"/>
    </row>
    <row r="750" spans="5:10" x14ac:dyDescent="0.2">
      <c r="E750" s="336"/>
      <c r="F750" s="336"/>
      <c r="G750" s="336"/>
      <c r="H750" s="336"/>
      <c r="I750" s="336"/>
      <c r="J750" s="335"/>
    </row>
    <row r="751" spans="5:10" x14ac:dyDescent="0.2">
      <c r="E751" s="336"/>
      <c r="F751" s="336"/>
      <c r="G751" s="336"/>
      <c r="H751" s="336"/>
      <c r="I751" s="336"/>
      <c r="J751" s="335"/>
    </row>
    <row r="752" spans="5:10" x14ac:dyDescent="0.2">
      <c r="E752" s="336"/>
      <c r="F752" s="336"/>
      <c r="G752" s="336"/>
      <c r="H752" s="336"/>
      <c r="I752" s="336"/>
      <c r="J752" s="335"/>
    </row>
    <row r="753" spans="5:10" x14ac:dyDescent="0.2">
      <c r="E753" s="336"/>
      <c r="F753" s="336"/>
      <c r="G753" s="336"/>
      <c r="H753" s="336"/>
      <c r="I753" s="336"/>
      <c r="J753" s="335"/>
    </row>
    <row r="754" spans="5:10" x14ac:dyDescent="0.2">
      <c r="E754" s="336"/>
      <c r="F754" s="336"/>
      <c r="G754" s="336"/>
      <c r="H754" s="336"/>
      <c r="I754" s="336"/>
      <c r="J754" s="335"/>
    </row>
    <row r="755" spans="5:10" x14ac:dyDescent="0.2">
      <c r="E755" s="336"/>
      <c r="F755" s="336"/>
      <c r="G755" s="336"/>
      <c r="H755" s="336"/>
      <c r="I755" s="336"/>
      <c r="J755" s="335"/>
    </row>
    <row r="756" spans="5:10" x14ac:dyDescent="0.2">
      <c r="E756" s="336"/>
      <c r="F756" s="336"/>
      <c r="G756" s="336"/>
      <c r="H756" s="336"/>
      <c r="I756" s="336"/>
      <c r="J756" s="335"/>
    </row>
    <row r="757" spans="5:10" x14ac:dyDescent="0.2">
      <c r="E757" s="336"/>
      <c r="F757" s="336"/>
      <c r="G757" s="336"/>
      <c r="H757" s="336"/>
      <c r="I757" s="336"/>
      <c r="J757" s="335"/>
    </row>
    <row r="758" spans="5:10" x14ac:dyDescent="0.2">
      <c r="E758" s="336"/>
      <c r="F758" s="336"/>
      <c r="G758" s="336"/>
      <c r="H758" s="336"/>
      <c r="I758" s="336"/>
      <c r="J758" s="335"/>
    </row>
    <row r="759" spans="5:10" x14ac:dyDescent="0.2">
      <c r="E759" s="336"/>
      <c r="F759" s="336"/>
      <c r="G759" s="336"/>
      <c r="H759" s="336"/>
      <c r="I759" s="336"/>
      <c r="J759" s="335"/>
    </row>
    <row r="760" spans="5:10" x14ac:dyDescent="0.2">
      <c r="E760" s="336"/>
      <c r="F760" s="336"/>
      <c r="G760" s="336"/>
      <c r="H760" s="336"/>
      <c r="I760" s="336"/>
      <c r="J760" s="335"/>
    </row>
    <row r="761" spans="5:10" x14ac:dyDescent="0.2">
      <c r="E761" s="336"/>
      <c r="F761" s="336"/>
      <c r="G761" s="336"/>
      <c r="H761" s="336"/>
      <c r="I761" s="336"/>
      <c r="J761" s="335"/>
    </row>
    <row r="762" spans="5:10" x14ac:dyDescent="0.2">
      <c r="E762" s="336"/>
      <c r="F762" s="336"/>
      <c r="G762" s="336"/>
      <c r="H762" s="336"/>
      <c r="I762" s="336"/>
      <c r="J762" s="335"/>
    </row>
    <row r="763" spans="5:10" x14ac:dyDescent="0.2">
      <c r="E763" s="336"/>
      <c r="F763" s="336"/>
      <c r="G763" s="336"/>
      <c r="H763" s="336"/>
      <c r="I763" s="336"/>
      <c r="J763" s="335"/>
    </row>
    <row r="764" spans="5:10" x14ac:dyDescent="0.2">
      <c r="E764" s="336"/>
      <c r="F764" s="336"/>
      <c r="G764" s="336"/>
      <c r="H764" s="336"/>
      <c r="I764" s="336"/>
      <c r="J764" s="335"/>
    </row>
    <row r="765" spans="5:10" x14ac:dyDescent="0.2">
      <c r="E765" s="336"/>
      <c r="F765" s="336"/>
      <c r="G765" s="336"/>
      <c r="H765" s="336"/>
      <c r="I765" s="336"/>
      <c r="J765" s="335"/>
    </row>
    <row r="766" spans="5:10" x14ac:dyDescent="0.2">
      <c r="E766" s="336"/>
      <c r="F766" s="336"/>
      <c r="G766" s="336"/>
      <c r="H766" s="336"/>
      <c r="I766" s="336"/>
      <c r="J766" s="335"/>
    </row>
    <row r="767" spans="5:10" x14ac:dyDescent="0.2">
      <c r="E767" s="336"/>
      <c r="F767" s="336"/>
      <c r="G767" s="336"/>
      <c r="H767" s="336"/>
      <c r="I767" s="336"/>
      <c r="J767" s="335"/>
    </row>
    <row r="768" spans="5:10" x14ac:dyDescent="0.2">
      <c r="E768" s="336"/>
      <c r="F768" s="336"/>
      <c r="G768" s="336"/>
      <c r="H768" s="336"/>
      <c r="I768" s="336"/>
      <c r="J768" s="335"/>
    </row>
    <row r="769" spans="5:10" x14ac:dyDescent="0.2">
      <c r="E769" s="336"/>
      <c r="F769" s="336"/>
      <c r="G769" s="336"/>
      <c r="H769" s="336"/>
      <c r="I769" s="336"/>
      <c r="J769" s="335"/>
    </row>
    <row r="770" spans="5:10" x14ac:dyDescent="0.2">
      <c r="E770" s="336"/>
      <c r="F770" s="336"/>
      <c r="G770" s="336"/>
      <c r="H770" s="336"/>
      <c r="I770" s="336"/>
      <c r="J770" s="335"/>
    </row>
    <row r="771" spans="5:10" x14ac:dyDescent="0.2">
      <c r="E771" s="336"/>
      <c r="F771" s="336"/>
      <c r="G771" s="336"/>
      <c r="H771" s="336"/>
      <c r="I771" s="336"/>
      <c r="J771" s="335"/>
    </row>
    <row r="772" spans="5:10" x14ac:dyDescent="0.2">
      <c r="E772" s="336"/>
      <c r="F772" s="336"/>
      <c r="G772" s="336"/>
      <c r="H772" s="336"/>
      <c r="I772" s="336"/>
      <c r="J772" s="335"/>
    </row>
    <row r="773" spans="5:10" x14ac:dyDescent="0.2">
      <c r="E773" s="336"/>
      <c r="F773" s="336"/>
      <c r="G773" s="336"/>
      <c r="H773" s="336"/>
      <c r="I773" s="336"/>
      <c r="J773" s="335"/>
    </row>
    <row r="774" spans="5:10" x14ac:dyDescent="0.2">
      <c r="E774" s="336"/>
      <c r="F774" s="336"/>
      <c r="G774" s="336"/>
      <c r="H774" s="336"/>
      <c r="I774" s="336"/>
      <c r="J774" s="335"/>
    </row>
    <row r="775" spans="5:10" x14ac:dyDescent="0.2">
      <c r="E775" s="336"/>
      <c r="F775" s="336"/>
      <c r="G775" s="336"/>
      <c r="H775" s="336"/>
      <c r="I775" s="336"/>
      <c r="J775" s="335"/>
    </row>
    <row r="776" spans="5:10" x14ac:dyDescent="0.2">
      <c r="E776" s="336"/>
      <c r="F776" s="336"/>
      <c r="G776" s="336"/>
      <c r="H776" s="336"/>
      <c r="I776" s="336"/>
      <c r="J776" s="335"/>
    </row>
    <row r="777" spans="5:10" x14ac:dyDescent="0.2">
      <c r="E777" s="336"/>
      <c r="F777" s="336"/>
      <c r="G777" s="336"/>
      <c r="H777" s="336"/>
      <c r="I777" s="336"/>
      <c r="J777" s="335"/>
    </row>
    <row r="778" spans="5:10" x14ac:dyDescent="0.2">
      <c r="E778" s="336"/>
      <c r="F778" s="336"/>
      <c r="G778" s="336"/>
      <c r="H778" s="336"/>
      <c r="I778" s="336"/>
      <c r="J778" s="335"/>
    </row>
    <row r="779" spans="5:10" x14ac:dyDescent="0.2">
      <c r="E779" s="336"/>
      <c r="F779" s="336"/>
      <c r="G779" s="336"/>
      <c r="H779" s="336"/>
      <c r="I779" s="336"/>
      <c r="J779" s="335"/>
    </row>
    <row r="780" spans="5:10" x14ac:dyDescent="0.2">
      <c r="E780" s="336"/>
      <c r="F780" s="336"/>
      <c r="G780" s="336"/>
      <c r="H780" s="336"/>
      <c r="I780" s="336"/>
      <c r="J780" s="335"/>
    </row>
    <row r="781" spans="5:10" x14ac:dyDescent="0.2">
      <c r="E781" s="336"/>
      <c r="F781" s="336"/>
      <c r="G781" s="336"/>
      <c r="H781" s="336"/>
      <c r="I781" s="336"/>
      <c r="J781" s="335"/>
    </row>
    <row r="782" spans="5:10" x14ac:dyDescent="0.2">
      <c r="E782" s="336"/>
      <c r="F782" s="336"/>
      <c r="G782" s="336"/>
      <c r="H782" s="336"/>
      <c r="I782" s="336"/>
      <c r="J782" s="335"/>
    </row>
    <row r="783" spans="5:10" x14ac:dyDescent="0.2">
      <c r="E783" s="336"/>
      <c r="F783" s="336"/>
      <c r="G783" s="336"/>
      <c r="H783" s="336"/>
      <c r="I783" s="336"/>
      <c r="J783" s="335"/>
    </row>
    <row r="784" spans="5:10" x14ac:dyDescent="0.2">
      <c r="E784" s="336"/>
      <c r="F784" s="336"/>
      <c r="G784" s="336"/>
      <c r="H784" s="336"/>
      <c r="I784" s="336"/>
      <c r="J784" s="335"/>
    </row>
    <row r="785" spans="5:10" x14ac:dyDescent="0.2">
      <c r="E785" s="336"/>
      <c r="F785" s="336"/>
      <c r="G785" s="336"/>
      <c r="H785" s="336"/>
      <c r="I785" s="336"/>
      <c r="J785" s="335"/>
    </row>
    <row r="786" spans="5:10" x14ac:dyDescent="0.2">
      <c r="E786" s="336"/>
      <c r="F786" s="336"/>
      <c r="G786" s="336"/>
      <c r="H786" s="336"/>
      <c r="I786" s="336"/>
      <c r="J786" s="335"/>
    </row>
    <row r="787" spans="5:10" x14ac:dyDescent="0.2">
      <c r="E787" s="336"/>
      <c r="F787" s="336"/>
      <c r="G787" s="336"/>
      <c r="H787" s="336"/>
      <c r="I787" s="336"/>
      <c r="J787" s="335"/>
    </row>
    <row r="788" spans="5:10" x14ac:dyDescent="0.2">
      <c r="E788" s="336"/>
      <c r="F788" s="336"/>
      <c r="G788" s="336"/>
      <c r="H788" s="336"/>
      <c r="I788" s="336"/>
      <c r="J788" s="335"/>
    </row>
    <row r="789" spans="5:10" x14ac:dyDescent="0.2">
      <c r="E789" s="336"/>
      <c r="F789" s="336"/>
      <c r="G789" s="336"/>
      <c r="H789" s="336"/>
      <c r="I789" s="336"/>
      <c r="J789" s="335"/>
    </row>
    <row r="790" spans="5:10" x14ac:dyDescent="0.2">
      <c r="E790" s="336"/>
      <c r="F790" s="336"/>
      <c r="G790" s="336"/>
      <c r="H790" s="336"/>
      <c r="I790" s="336"/>
      <c r="J790" s="335"/>
    </row>
    <row r="791" spans="5:10" x14ac:dyDescent="0.2">
      <c r="E791" s="336"/>
      <c r="F791" s="336"/>
      <c r="G791" s="336"/>
      <c r="H791" s="336"/>
      <c r="I791" s="336"/>
      <c r="J791" s="335"/>
    </row>
    <row r="792" spans="5:10" x14ac:dyDescent="0.2">
      <c r="E792" s="336"/>
      <c r="F792" s="336"/>
      <c r="G792" s="336"/>
      <c r="H792" s="336"/>
      <c r="I792" s="336"/>
      <c r="J792" s="335"/>
    </row>
    <row r="793" spans="5:10" x14ac:dyDescent="0.2">
      <c r="E793" s="336"/>
      <c r="F793" s="336"/>
      <c r="G793" s="336"/>
      <c r="H793" s="336"/>
      <c r="I793" s="336"/>
      <c r="J793" s="335"/>
    </row>
    <row r="794" spans="5:10" x14ac:dyDescent="0.2">
      <c r="E794" s="336"/>
      <c r="F794" s="336"/>
      <c r="G794" s="336"/>
      <c r="H794" s="336"/>
      <c r="I794" s="336"/>
      <c r="J794" s="335"/>
    </row>
    <row r="795" spans="5:10" x14ac:dyDescent="0.2">
      <c r="E795" s="336"/>
      <c r="F795" s="336"/>
      <c r="G795" s="336"/>
      <c r="H795" s="336"/>
      <c r="I795" s="336"/>
      <c r="J795" s="335"/>
    </row>
    <row r="796" spans="5:10" x14ac:dyDescent="0.2">
      <c r="E796" s="336"/>
      <c r="F796" s="336"/>
      <c r="G796" s="336"/>
      <c r="H796" s="336"/>
      <c r="I796" s="336"/>
      <c r="J796" s="335"/>
    </row>
    <row r="797" spans="5:10" x14ac:dyDescent="0.2">
      <c r="E797" s="336"/>
      <c r="F797" s="336"/>
      <c r="G797" s="336"/>
      <c r="H797" s="336"/>
      <c r="I797" s="336"/>
      <c r="J797" s="335"/>
    </row>
    <row r="798" spans="5:10" x14ac:dyDescent="0.2">
      <c r="E798" s="336"/>
      <c r="F798" s="336"/>
      <c r="G798" s="336"/>
      <c r="H798" s="336"/>
      <c r="I798" s="336"/>
      <c r="J798" s="335"/>
    </row>
    <row r="799" spans="5:10" x14ac:dyDescent="0.2">
      <c r="E799" s="336"/>
      <c r="F799" s="336"/>
      <c r="G799" s="336"/>
      <c r="H799" s="336"/>
      <c r="I799" s="336"/>
      <c r="J799" s="335"/>
    </row>
    <row r="800" spans="5:10" x14ac:dyDescent="0.2">
      <c r="E800" s="336"/>
      <c r="F800" s="336"/>
      <c r="G800" s="336"/>
      <c r="H800" s="336"/>
      <c r="I800" s="336"/>
      <c r="J800" s="335"/>
    </row>
    <row r="801" spans="5:10" x14ac:dyDescent="0.2">
      <c r="E801" s="336"/>
      <c r="F801" s="336"/>
      <c r="G801" s="336"/>
      <c r="H801" s="336"/>
      <c r="I801" s="336"/>
      <c r="J801" s="335"/>
    </row>
    <row r="802" spans="5:10" x14ac:dyDescent="0.2">
      <c r="E802" s="336"/>
      <c r="F802" s="336"/>
      <c r="G802" s="336"/>
      <c r="H802" s="336"/>
      <c r="I802" s="336"/>
      <c r="J802" s="335"/>
    </row>
    <row r="803" spans="5:10" x14ac:dyDescent="0.2">
      <c r="E803" s="336"/>
      <c r="F803" s="336"/>
      <c r="G803" s="336"/>
      <c r="H803" s="336"/>
      <c r="I803" s="336"/>
      <c r="J803" s="335"/>
    </row>
    <row r="804" spans="5:10" x14ac:dyDescent="0.2">
      <c r="E804" s="336"/>
      <c r="F804" s="336"/>
      <c r="G804" s="336"/>
      <c r="H804" s="336"/>
      <c r="I804" s="336"/>
      <c r="J804" s="335"/>
    </row>
    <row r="805" spans="5:10" x14ac:dyDescent="0.2">
      <c r="E805" s="336"/>
      <c r="F805" s="336"/>
      <c r="G805" s="336"/>
      <c r="H805" s="336"/>
      <c r="I805" s="336"/>
      <c r="J805" s="335"/>
    </row>
    <row r="806" spans="5:10" x14ac:dyDescent="0.2">
      <c r="E806" s="336"/>
      <c r="F806" s="336"/>
      <c r="G806" s="336"/>
      <c r="H806" s="336"/>
      <c r="I806" s="336"/>
      <c r="J806" s="335"/>
    </row>
    <row r="807" spans="5:10" x14ac:dyDescent="0.2">
      <c r="E807" s="336"/>
      <c r="F807" s="336"/>
      <c r="G807" s="336"/>
      <c r="H807" s="336"/>
      <c r="I807" s="336"/>
      <c r="J807" s="335"/>
    </row>
    <row r="808" spans="5:10" x14ac:dyDescent="0.2">
      <c r="E808" s="336"/>
      <c r="F808" s="336"/>
      <c r="G808" s="336"/>
      <c r="H808" s="336"/>
      <c r="I808" s="336"/>
      <c r="J808" s="335"/>
    </row>
    <row r="809" spans="5:10" x14ac:dyDescent="0.2">
      <c r="E809" s="336"/>
      <c r="F809" s="336"/>
      <c r="G809" s="336"/>
      <c r="H809" s="336"/>
      <c r="I809" s="336"/>
      <c r="J809" s="335"/>
    </row>
    <row r="810" spans="5:10" x14ac:dyDescent="0.2">
      <c r="E810" s="336"/>
      <c r="F810" s="336"/>
      <c r="G810" s="336"/>
      <c r="H810" s="336"/>
      <c r="I810" s="336"/>
      <c r="J810" s="335"/>
    </row>
    <row r="811" spans="5:10" x14ac:dyDescent="0.2">
      <c r="E811" s="336"/>
      <c r="F811" s="336"/>
      <c r="G811" s="336"/>
      <c r="H811" s="336"/>
      <c r="I811" s="336"/>
      <c r="J811" s="335"/>
    </row>
    <row r="812" spans="5:10" x14ac:dyDescent="0.2">
      <c r="E812" s="336"/>
      <c r="F812" s="336"/>
      <c r="G812" s="336"/>
      <c r="H812" s="336"/>
      <c r="I812" s="336"/>
      <c r="J812" s="335"/>
    </row>
    <row r="813" spans="5:10" x14ac:dyDescent="0.2">
      <c r="E813" s="336"/>
      <c r="F813" s="336"/>
      <c r="G813" s="336"/>
      <c r="H813" s="336"/>
      <c r="I813" s="336"/>
      <c r="J813" s="335"/>
    </row>
    <row r="814" spans="5:10" x14ac:dyDescent="0.2">
      <c r="E814" s="336"/>
      <c r="F814" s="336"/>
      <c r="G814" s="336"/>
      <c r="H814" s="336"/>
      <c r="I814" s="336"/>
      <c r="J814" s="335"/>
    </row>
    <row r="815" spans="5:10" x14ac:dyDescent="0.2">
      <c r="E815" s="336"/>
      <c r="F815" s="336"/>
      <c r="G815" s="336"/>
      <c r="H815" s="336"/>
      <c r="I815" s="336"/>
      <c r="J815" s="335"/>
    </row>
    <row r="816" spans="5:10" x14ac:dyDescent="0.2">
      <c r="E816" s="336"/>
      <c r="F816" s="336"/>
      <c r="G816" s="336"/>
      <c r="H816" s="336"/>
      <c r="I816" s="336"/>
      <c r="J816" s="335"/>
    </row>
    <row r="817" spans="5:10" x14ac:dyDescent="0.2">
      <c r="E817" s="336"/>
      <c r="F817" s="336"/>
      <c r="G817" s="336"/>
      <c r="H817" s="336"/>
      <c r="I817" s="336"/>
      <c r="J817" s="335"/>
    </row>
    <row r="818" spans="5:10" x14ac:dyDescent="0.2">
      <c r="E818" s="336"/>
      <c r="F818" s="336"/>
      <c r="G818" s="336"/>
      <c r="H818" s="336"/>
      <c r="I818" s="336"/>
      <c r="J818" s="335"/>
    </row>
    <row r="819" spans="5:10" x14ac:dyDescent="0.2">
      <c r="E819" s="336"/>
      <c r="F819" s="336"/>
      <c r="G819" s="336"/>
      <c r="H819" s="336"/>
      <c r="I819" s="336"/>
      <c r="J819" s="335"/>
    </row>
    <row r="820" spans="5:10" x14ac:dyDescent="0.2">
      <c r="E820" s="336"/>
      <c r="F820" s="336"/>
      <c r="G820" s="336"/>
      <c r="H820" s="336"/>
      <c r="I820" s="336"/>
      <c r="J820" s="335"/>
    </row>
    <row r="821" spans="5:10" x14ac:dyDescent="0.2">
      <c r="E821" s="336"/>
      <c r="F821" s="336"/>
      <c r="G821" s="336"/>
      <c r="H821" s="336"/>
      <c r="I821" s="336"/>
      <c r="J821" s="335"/>
    </row>
    <row r="822" spans="5:10" x14ac:dyDescent="0.2">
      <c r="E822" s="336"/>
      <c r="F822" s="336"/>
      <c r="G822" s="336"/>
      <c r="H822" s="336"/>
      <c r="I822" s="336"/>
      <c r="J822" s="335"/>
    </row>
    <row r="823" spans="5:10" x14ac:dyDescent="0.2">
      <c r="E823" s="336"/>
      <c r="F823" s="336"/>
      <c r="G823" s="336"/>
      <c r="H823" s="336"/>
      <c r="I823" s="336"/>
      <c r="J823" s="335"/>
    </row>
    <row r="824" spans="5:10" x14ac:dyDescent="0.2">
      <c r="E824" s="336"/>
      <c r="F824" s="336"/>
      <c r="G824" s="336"/>
      <c r="H824" s="336"/>
      <c r="I824" s="336"/>
      <c r="J824" s="335"/>
    </row>
    <row r="825" spans="5:10" x14ac:dyDescent="0.2">
      <c r="E825" s="336"/>
      <c r="F825" s="336"/>
      <c r="G825" s="336"/>
      <c r="H825" s="336"/>
      <c r="I825" s="336"/>
      <c r="J825" s="335"/>
    </row>
    <row r="826" spans="5:10" x14ac:dyDescent="0.2">
      <c r="E826" s="336"/>
      <c r="F826" s="336"/>
      <c r="G826" s="336"/>
      <c r="H826" s="336"/>
      <c r="I826" s="336"/>
      <c r="J826" s="335"/>
    </row>
    <row r="827" spans="5:10" x14ac:dyDescent="0.2">
      <c r="E827" s="336"/>
      <c r="F827" s="336"/>
      <c r="G827" s="336"/>
      <c r="H827" s="336"/>
      <c r="I827" s="336"/>
      <c r="J827" s="335"/>
    </row>
    <row r="828" spans="5:10" x14ac:dyDescent="0.2">
      <c r="E828" s="336"/>
      <c r="F828" s="336"/>
      <c r="G828" s="336"/>
      <c r="H828" s="336"/>
      <c r="I828" s="336"/>
      <c r="J828" s="335"/>
    </row>
    <row r="829" spans="5:10" x14ac:dyDescent="0.2">
      <c r="E829" s="336"/>
      <c r="F829" s="336"/>
      <c r="G829" s="336"/>
      <c r="H829" s="336"/>
      <c r="I829" s="336"/>
      <c r="J829" s="335"/>
    </row>
    <row r="830" spans="5:10" x14ac:dyDescent="0.2">
      <c r="E830" s="336"/>
      <c r="F830" s="336"/>
      <c r="G830" s="336"/>
      <c r="H830" s="336"/>
      <c r="I830" s="336"/>
      <c r="J830" s="335"/>
    </row>
    <row r="831" spans="5:10" x14ac:dyDescent="0.2">
      <c r="E831" s="336"/>
      <c r="F831" s="336"/>
      <c r="G831" s="336"/>
      <c r="H831" s="336"/>
      <c r="I831" s="336"/>
      <c r="J831" s="335"/>
    </row>
    <row r="832" spans="5:10" x14ac:dyDescent="0.2">
      <c r="E832" s="336"/>
      <c r="F832" s="336"/>
      <c r="G832" s="336"/>
      <c r="H832" s="336"/>
      <c r="I832" s="336"/>
      <c r="J832" s="335"/>
    </row>
    <row r="833" spans="5:10" x14ac:dyDescent="0.2">
      <c r="E833" s="336"/>
      <c r="F833" s="336"/>
      <c r="G833" s="336"/>
      <c r="H833" s="336"/>
      <c r="I833" s="336"/>
      <c r="J833" s="335"/>
    </row>
    <row r="834" spans="5:10" x14ac:dyDescent="0.2">
      <c r="E834" s="336"/>
      <c r="F834" s="336"/>
      <c r="G834" s="336"/>
      <c r="H834" s="336"/>
      <c r="I834" s="336"/>
      <c r="J834" s="335"/>
    </row>
    <row r="835" spans="5:10" x14ac:dyDescent="0.2">
      <c r="E835" s="336"/>
      <c r="F835" s="336"/>
      <c r="G835" s="336"/>
      <c r="H835" s="336"/>
      <c r="I835" s="336"/>
      <c r="J835" s="335"/>
    </row>
    <row r="836" spans="5:10" x14ac:dyDescent="0.2">
      <c r="E836" s="336"/>
      <c r="F836" s="336"/>
      <c r="G836" s="336"/>
      <c r="H836" s="336"/>
      <c r="I836" s="336"/>
      <c r="J836" s="335"/>
    </row>
    <row r="837" spans="5:10" x14ac:dyDescent="0.2">
      <c r="E837" s="336"/>
      <c r="F837" s="336"/>
      <c r="G837" s="336"/>
      <c r="H837" s="336"/>
      <c r="I837" s="336"/>
      <c r="J837" s="335"/>
    </row>
    <row r="838" spans="5:10" x14ac:dyDescent="0.2">
      <c r="E838" s="336"/>
      <c r="F838" s="336"/>
      <c r="G838" s="336"/>
      <c r="H838" s="336"/>
      <c r="I838" s="336"/>
      <c r="J838" s="335"/>
    </row>
    <row r="839" spans="5:10" x14ac:dyDescent="0.2">
      <c r="E839" s="336"/>
      <c r="F839" s="336"/>
      <c r="G839" s="336"/>
      <c r="H839" s="336"/>
      <c r="I839" s="336"/>
      <c r="J839" s="335"/>
    </row>
    <row r="840" spans="5:10" x14ac:dyDescent="0.2">
      <c r="E840" s="336"/>
      <c r="F840" s="336"/>
      <c r="G840" s="336"/>
      <c r="H840" s="336"/>
      <c r="I840" s="336"/>
      <c r="J840" s="335"/>
    </row>
    <row r="841" spans="5:10" x14ac:dyDescent="0.2">
      <c r="E841" s="336"/>
      <c r="F841" s="336"/>
      <c r="G841" s="336"/>
      <c r="H841" s="336"/>
      <c r="I841" s="336"/>
      <c r="J841" s="335"/>
    </row>
    <row r="842" spans="5:10" x14ac:dyDescent="0.2">
      <c r="E842" s="336"/>
      <c r="F842" s="336"/>
      <c r="G842" s="336"/>
      <c r="H842" s="336"/>
      <c r="I842" s="336"/>
      <c r="J842" s="335"/>
    </row>
    <row r="843" spans="5:10" x14ac:dyDescent="0.2">
      <c r="E843" s="336"/>
      <c r="F843" s="336"/>
      <c r="G843" s="336"/>
      <c r="H843" s="336"/>
      <c r="I843" s="336"/>
      <c r="J843" s="335"/>
    </row>
    <row r="844" spans="5:10" x14ac:dyDescent="0.2">
      <c r="E844" s="336"/>
      <c r="F844" s="336"/>
      <c r="G844" s="336"/>
      <c r="H844" s="336"/>
      <c r="I844" s="336"/>
      <c r="J844" s="335"/>
    </row>
    <row r="845" spans="5:10" x14ac:dyDescent="0.2">
      <c r="E845" s="336"/>
      <c r="F845" s="336"/>
      <c r="G845" s="336"/>
      <c r="H845" s="336"/>
      <c r="I845" s="336"/>
      <c r="J845" s="335"/>
    </row>
    <row r="846" spans="5:10" x14ac:dyDescent="0.2">
      <c r="E846" s="336"/>
      <c r="F846" s="336"/>
      <c r="G846" s="336"/>
      <c r="H846" s="336"/>
      <c r="I846" s="336"/>
      <c r="J846" s="335"/>
    </row>
    <row r="847" spans="5:10" x14ac:dyDescent="0.2">
      <c r="E847" s="336"/>
      <c r="F847" s="336"/>
      <c r="G847" s="336"/>
      <c r="H847" s="336"/>
      <c r="I847" s="336"/>
      <c r="J847" s="335"/>
    </row>
    <row r="848" spans="5:10" x14ac:dyDescent="0.2">
      <c r="E848" s="336"/>
      <c r="F848" s="336"/>
      <c r="G848" s="336"/>
      <c r="H848" s="336"/>
      <c r="I848" s="336"/>
      <c r="J848" s="335"/>
    </row>
    <row r="849" spans="5:10" x14ac:dyDescent="0.2">
      <c r="E849" s="336"/>
      <c r="F849" s="336"/>
      <c r="G849" s="336"/>
      <c r="H849" s="336"/>
      <c r="I849" s="336"/>
      <c r="J849" s="335"/>
    </row>
    <row r="850" spans="5:10" x14ac:dyDescent="0.2">
      <c r="E850" s="336"/>
      <c r="F850" s="336"/>
      <c r="G850" s="336"/>
      <c r="H850" s="336"/>
      <c r="I850" s="336"/>
      <c r="J850" s="335"/>
    </row>
    <row r="851" spans="5:10" x14ac:dyDescent="0.2">
      <c r="E851" s="336"/>
      <c r="F851" s="336"/>
      <c r="G851" s="336"/>
      <c r="H851" s="336"/>
      <c r="I851" s="336"/>
      <c r="J851" s="335"/>
    </row>
    <row r="852" spans="5:10" x14ac:dyDescent="0.2">
      <c r="E852" s="336"/>
      <c r="F852" s="336"/>
      <c r="G852" s="336"/>
      <c r="H852" s="336"/>
      <c r="I852" s="336"/>
      <c r="J852" s="335"/>
    </row>
    <row r="853" spans="5:10" x14ac:dyDescent="0.2">
      <c r="E853" s="336"/>
      <c r="F853" s="336"/>
      <c r="G853" s="336"/>
      <c r="H853" s="336"/>
      <c r="I853" s="336"/>
      <c r="J853" s="335"/>
    </row>
    <row r="854" spans="5:10" x14ac:dyDescent="0.2">
      <c r="E854" s="336"/>
      <c r="F854" s="336"/>
      <c r="G854" s="336"/>
      <c r="H854" s="336"/>
      <c r="I854" s="336"/>
      <c r="J854" s="335"/>
    </row>
    <row r="855" spans="5:10" x14ac:dyDescent="0.2">
      <c r="E855" s="336"/>
      <c r="F855" s="336"/>
      <c r="G855" s="336"/>
      <c r="H855" s="336"/>
      <c r="I855" s="336"/>
      <c r="J855" s="335"/>
    </row>
    <row r="856" spans="5:10" x14ac:dyDescent="0.2">
      <c r="E856" s="336"/>
      <c r="F856" s="336"/>
      <c r="G856" s="336"/>
      <c r="H856" s="336"/>
      <c r="I856" s="336"/>
      <c r="J856" s="335"/>
    </row>
    <row r="857" spans="5:10" x14ac:dyDescent="0.2">
      <c r="E857" s="336"/>
      <c r="F857" s="336"/>
      <c r="G857" s="336"/>
      <c r="H857" s="336"/>
      <c r="I857" s="336"/>
      <c r="J857" s="335"/>
    </row>
    <row r="858" spans="5:10" x14ac:dyDescent="0.2">
      <c r="E858" s="336"/>
      <c r="F858" s="336"/>
      <c r="G858" s="336"/>
      <c r="H858" s="336"/>
      <c r="I858" s="336"/>
      <c r="J858" s="335"/>
    </row>
    <row r="859" spans="5:10" x14ac:dyDescent="0.2">
      <c r="E859" s="336"/>
      <c r="F859" s="336"/>
      <c r="G859" s="336"/>
      <c r="H859" s="336"/>
      <c r="I859" s="336"/>
      <c r="J859" s="335"/>
    </row>
    <row r="860" spans="5:10" x14ac:dyDescent="0.2">
      <c r="E860" s="336"/>
      <c r="F860" s="336"/>
      <c r="G860" s="336"/>
      <c r="H860" s="336"/>
      <c r="I860" s="336"/>
      <c r="J860" s="335"/>
    </row>
    <row r="861" spans="5:10" x14ac:dyDescent="0.2">
      <c r="E861" s="336"/>
      <c r="F861" s="336"/>
      <c r="G861" s="336"/>
      <c r="H861" s="336"/>
      <c r="I861" s="336"/>
      <c r="J861" s="335"/>
    </row>
    <row r="862" spans="5:10" x14ac:dyDescent="0.2">
      <c r="E862" s="336"/>
      <c r="F862" s="336"/>
      <c r="G862" s="336"/>
      <c r="H862" s="336"/>
      <c r="I862" s="336"/>
      <c r="J862" s="335"/>
    </row>
    <row r="863" spans="5:10" x14ac:dyDescent="0.2">
      <c r="E863" s="336"/>
      <c r="F863" s="336"/>
      <c r="G863" s="336"/>
      <c r="H863" s="336"/>
      <c r="I863" s="336"/>
      <c r="J863" s="335"/>
    </row>
    <row r="864" spans="5:10" x14ac:dyDescent="0.2">
      <c r="E864" s="336"/>
      <c r="F864" s="336"/>
      <c r="G864" s="336"/>
      <c r="H864" s="336"/>
      <c r="I864" s="336"/>
      <c r="J864" s="335"/>
    </row>
    <row r="865" spans="5:10" x14ac:dyDescent="0.2">
      <c r="E865" s="336"/>
      <c r="F865" s="336"/>
      <c r="G865" s="336"/>
      <c r="H865" s="336"/>
      <c r="I865" s="336"/>
      <c r="J865" s="335"/>
    </row>
    <row r="866" spans="5:10" x14ac:dyDescent="0.2">
      <c r="E866" s="336"/>
      <c r="F866" s="336"/>
      <c r="G866" s="336"/>
      <c r="H866" s="336"/>
      <c r="I866" s="336"/>
      <c r="J866" s="335"/>
    </row>
    <row r="867" spans="5:10" x14ac:dyDescent="0.2">
      <c r="E867" s="336"/>
      <c r="F867" s="336"/>
      <c r="G867" s="336"/>
      <c r="H867" s="336"/>
      <c r="I867" s="336"/>
      <c r="J867" s="335"/>
    </row>
    <row r="868" spans="5:10" x14ac:dyDescent="0.2">
      <c r="E868" s="336"/>
      <c r="F868" s="336"/>
      <c r="G868" s="336"/>
      <c r="H868" s="336"/>
      <c r="I868" s="336"/>
      <c r="J868" s="335"/>
    </row>
    <row r="869" spans="5:10" x14ac:dyDescent="0.2">
      <c r="E869" s="336"/>
      <c r="F869" s="336"/>
      <c r="G869" s="336"/>
      <c r="H869" s="336"/>
      <c r="I869" s="336"/>
      <c r="J869" s="335"/>
    </row>
    <row r="870" spans="5:10" x14ac:dyDescent="0.2">
      <c r="E870" s="336"/>
      <c r="F870" s="336"/>
      <c r="G870" s="336"/>
      <c r="H870" s="336"/>
      <c r="I870" s="336"/>
      <c r="J870" s="335"/>
    </row>
    <row r="871" spans="5:10" x14ac:dyDescent="0.2">
      <c r="E871" s="336"/>
      <c r="F871" s="336"/>
      <c r="G871" s="336"/>
      <c r="H871" s="336"/>
      <c r="I871" s="336"/>
      <c r="J871" s="335"/>
    </row>
    <row r="872" spans="5:10" x14ac:dyDescent="0.2">
      <c r="E872" s="336"/>
      <c r="F872" s="336"/>
      <c r="G872" s="336"/>
      <c r="H872" s="336"/>
      <c r="I872" s="336"/>
      <c r="J872" s="335"/>
    </row>
    <row r="873" spans="5:10" x14ac:dyDescent="0.2">
      <c r="E873" s="336"/>
      <c r="F873" s="336"/>
      <c r="G873" s="336"/>
      <c r="H873" s="336"/>
      <c r="I873" s="336"/>
      <c r="J873" s="335"/>
    </row>
    <row r="874" spans="5:10" x14ac:dyDescent="0.2">
      <c r="E874" s="336"/>
      <c r="F874" s="336"/>
      <c r="G874" s="336"/>
      <c r="H874" s="336"/>
      <c r="I874" s="336"/>
      <c r="J874" s="335"/>
    </row>
    <row r="875" spans="5:10" x14ac:dyDescent="0.2">
      <c r="E875" s="336"/>
      <c r="F875" s="336"/>
      <c r="G875" s="336"/>
      <c r="H875" s="336"/>
      <c r="I875" s="336"/>
      <c r="J875" s="335"/>
    </row>
    <row r="876" spans="5:10" x14ac:dyDescent="0.2">
      <c r="E876" s="336"/>
      <c r="F876" s="336"/>
      <c r="G876" s="336"/>
      <c r="H876" s="336"/>
      <c r="I876" s="336"/>
      <c r="J876" s="335"/>
    </row>
    <row r="877" spans="5:10" x14ac:dyDescent="0.2">
      <c r="E877" s="336"/>
      <c r="F877" s="336"/>
      <c r="G877" s="336"/>
      <c r="H877" s="336"/>
      <c r="I877" s="336"/>
      <c r="J877" s="335"/>
    </row>
    <row r="878" spans="5:10" x14ac:dyDescent="0.2">
      <c r="E878" s="336"/>
      <c r="F878" s="336"/>
      <c r="G878" s="336"/>
      <c r="H878" s="336"/>
      <c r="I878" s="336"/>
      <c r="J878" s="335"/>
    </row>
    <row r="879" spans="5:10" x14ac:dyDescent="0.2">
      <c r="E879" s="336"/>
      <c r="F879" s="336"/>
      <c r="G879" s="336"/>
      <c r="H879" s="336"/>
      <c r="I879" s="336"/>
      <c r="J879" s="335"/>
    </row>
    <row r="880" spans="5:10" x14ac:dyDescent="0.2">
      <c r="E880" s="336"/>
      <c r="F880" s="336"/>
      <c r="G880" s="336"/>
      <c r="H880" s="336"/>
      <c r="I880" s="336"/>
      <c r="J880" s="335"/>
    </row>
    <row r="881" spans="5:10" x14ac:dyDescent="0.2">
      <c r="E881" s="336"/>
      <c r="F881" s="336"/>
      <c r="G881" s="336"/>
      <c r="H881" s="336"/>
      <c r="I881" s="336"/>
      <c r="J881" s="335"/>
    </row>
  </sheetData>
  <autoFilter ref="A20:J321" xr:uid="{00000000-0009-0000-0000-000000000000}"/>
  <mergeCells count="49">
    <mergeCell ref="B292:C292"/>
    <mergeCell ref="B336:D336"/>
    <mergeCell ref="E336:J336"/>
    <mergeCell ref="E326:J326"/>
    <mergeCell ref="E328:J328"/>
    <mergeCell ref="H319:I319"/>
    <mergeCell ref="B324:C324"/>
    <mergeCell ref="E324:J324"/>
    <mergeCell ref="E325:J325"/>
    <mergeCell ref="B319:G319"/>
    <mergeCell ref="A309:B309"/>
    <mergeCell ref="C309:D309"/>
    <mergeCell ref="A311:H311"/>
    <mergeCell ref="B95:C95"/>
    <mergeCell ref="B283:C283"/>
    <mergeCell ref="B213:C213"/>
    <mergeCell ref="B242:C242"/>
    <mergeCell ref="B278:C278"/>
    <mergeCell ref="B243:C243"/>
    <mergeCell ref="B251:C251"/>
    <mergeCell ref="B214:C214"/>
    <mergeCell ref="B229:C229"/>
    <mergeCell ref="B230:C230"/>
    <mergeCell ref="B210:C210"/>
    <mergeCell ref="B199:C199"/>
    <mergeCell ref="B156:C156"/>
    <mergeCell ref="B195:C195"/>
    <mergeCell ref="E15:J15"/>
    <mergeCell ref="E14:J14"/>
    <mergeCell ref="B143:C143"/>
    <mergeCell ref="B202:C202"/>
    <mergeCell ref="D17:G17"/>
    <mergeCell ref="B121:C121"/>
    <mergeCell ref="C18:J18"/>
    <mergeCell ref="D19:I19"/>
    <mergeCell ref="B22:C22"/>
    <mergeCell ref="B66:C66"/>
    <mergeCell ref="B94:C94"/>
    <mergeCell ref="B105:C105"/>
    <mergeCell ref="B39:C39"/>
    <mergeCell ref="B116:C116"/>
    <mergeCell ref="A18:B18"/>
    <mergeCell ref="B120:C120"/>
    <mergeCell ref="P36:S36"/>
    <mergeCell ref="P28:S28"/>
    <mergeCell ref="P29:S29"/>
    <mergeCell ref="P24:S24"/>
    <mergeCell ref="P26:S26"/>
    <mergeCell ref="P34:Q34"/>
  </mergeCells>
  <phoneticPr fontId="4" type="noConversion"/>
  <pageMargins left="0.25" right="0.25" top="0.75" bottom="0.75" header="0.3" footer="0.3"/>
  <pageSetup paperSize="9" scale="48" fitToHeight="0" orientation="landscape" r:id="rId1"/>
  <headerFooter alignWithMargins="0"/>
  <customProperties>
    <customPr name="_pios_id" r:id="rId2"/>
  </customProperties>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F57"/>
  <sheetViews>
    <sheetView workbookViewId="0">
      <selection activeCell="B2" sqref="B2:F2"/>
    </sheetView>
  </sheetViews>
  <sheetFormatPr defaultRowHeight="12.75" x14ac:dyDescent="0.2"/>
  <cols>
    <col min="3" max="3" width="60" customWidth="1"/>
    <col min="4" max="4" width="12.7109375" customWidth="1"/>
    <col min="5" max="5" width="14.85546875" customWidth="1"/>
    <col min="6" max="6" width="15.28515625" customWidth="1"/>
  </cols>
  <sheetData>
    <row r="2" spans="2:6" ht="28.5" x14ac:dyDescent="0.2">
      <c r="B2" s="688" t="s">
        <v>21</v>
      </c>
      <c r="C2" s="92" t="s">
        <v>280</v>
      </c>
      <c r="D2" s="688" t="s">
        <v>1058</v>
      </c>
      <c r="E2" s="688" t="s">
        <v>1057</v>
      </c>
      <c r="F2" s="688" t="s">
        <v>140</v>
      </c>
    </row>
    <row r="3" spans="2:6" ht="14.25" x14ac:dyDescent="0.2">
      <c r="B3" s="94"/>
      <c r="C3" s="95" t="s">
        <v>281</v>
      </c>
      <c r="D3" s="96"/>
      <c r="E3" s="96"/>
      <c r="F3" s="96"/>
    </row>
    <row r="4" spans="2:6" ht="23.1" customHeight="1" x14ac:dyDescent="0.2">
      <c r="B4" s="97">
        <v>1</v>
      </c>
      <c r="C4" s="98" t="s">
        <v>282</v>
      </c>
      <c r="D4" s="674">
        <f>120*0</f>
        <v>0</v>
      </c>
      <c r="E4" s="675">
        <v>1670</v>
      </c>
      <c r="F4" s="675">
        <f>D4*E4</f>
        <v>0</v>
      </c>
    </row>
    <row r="5" spans="2:6" ht="14.25" x14ac:dyDescent="0.2">
      <c r="B5" s="97">
        <v>2</v>
      </c>
      <c r="C5" s="98" t="s">
        <v>283</v>
      </c>
      <c r="D5" s="674">
        <f>90*0</f>
        <v>0</v>
      </c>
      <c r="E5" s="675">
        <v>1375</v>
      </c>
      <c r="F5" s="675">
        <f>D5*E5</f>
        <v>0</v>
      </c>
    </row>
    <row r="6" spans="2:6" ht="30.75" customHeight="1" x14ac:dyDescent="0.2">
      <c r="B6" s="97">
        <v>3</v>
      </c>
      <c r="C6" s="98" t="s">
        <v>284</v>
      </c>
      <c r="D6" s="674">
        <v>0</v>
      </c>
      <c r="E6" s="675">
        <v>690</v>
      </c>
      <c r="F6" s="675">
        <f t="shared" ref="F6:F7" si="0">D6*E6</f>
        <v>0</v>
      </c>
    </row>
    <row r="7" spans="2:6" ht="24.6" customHeight="1" x14ac:dyDescent="0.2">
      <c r="B7" s="97">
        <v>4</v>
      </c>
      <c r="C7" s="98" t="s">
        <v>285</v>
      </c>
      <c r="D7" s="674">
        <v>0</v>
      </c>
      <c r="E7" s="675">
        <v>1500</v>
      </c>
      <c r="F7" s="675">
        <f t="shared" si="0"/>
        <v>0</v>
      </c>
    </row>
    <row r="8" spans="2:6" ht="30" customHeight="1" x14ac:dyDescent="0.2">
      <c r="B8" s="97">
        <v>5</v>
      </c>
      <c r="C8" s="99" t="s">
        <v>286</v>
      </c>
      <c r="D8" s="674">
        <v>0</v>
      </c>
      <c r="E8" s="675">
        <v>340</v>
      </c>
      <c r="F8" s="676">
        <f>D8*E8</f>
        <v>0</v>
      </c>
    </row>
    <row r="9" spans="2:6" ht="24" customHeight="1" x14ac:dyDescent="0.2">
      <c r="B9" s="107">
        <v>6</v>
      </c>
      <c r="C9" s="99" t="s">
        <v>287</v>
      </c>
      <c r="D9" s="677">
        <v>0</v>
      </c>
      <c r="E9" s="675">
        <v>920</v>
      </c>
      <c r="F9" s="676">
        <f>D9*E9</f>
        <v>0</v>
      </c>
    </row>
    <row r="10" spans="2:6" ht="18.600000000000001" customHeight="1" x14ac:dyDescent="0.2">
      <c r="B10" s="107">
        <v>7</v>
      </c>
      <c r="C10" s="99" t="s">
        <v>288</v>
      </c>
      <c r="D10" s="677">
        <v>0</v>
      </c>
      <c r="E10" s="675">
        <v>870</v>
      </c>
      <c r="F10" s="676">
        <f>D10*E10</f>
        <v>0</v>
      </c>
    </row>
    <row r="11" spans="2:6" ht="18.600000000000001" customHeight="1" x14ac:dyDescent="0.2">
      <c r="B11" s="107">
        <v>8</v>
      </c>
      <c r="C11" s="99" t="s">
        <v>289</v>
      </c>
      <c r="D11" s="677">
        <v>0</v>
      </c>
      <c r="E11" s="676">
        <v>3700</v>
      </c>
      <c r="F11" s="676">
        <f>D11*E11</f>
        <v>0</v>
      </c>
    </row>
    <row r="12" spans="2:6" ht="19.899999999999999" customHeight="1" x14ac:dyDescent="0.2">
      <c r="B12" s="97"/>
      <c r="C12" s="95" t="s">
        <v>290</v>
      </c>
      <c r="D12" s="678"/>
      <c r="E12" s="676"/>
      <c r="F12" s="676"/>
    </row>
    <row r="13" spans="2:6" ht="14.25" x14ac:dyDescent="0.2">
      <c r="B13" s="97">
        <v>6</v>
      </c>
      <c r="C13" s="100" t="s">
        <v>291</v>
      </c>
      <c r="D13" s="678"/>
      <c r="E13" s="676"/>
      <c r="F13" s="676"/>
    </row>
    <row r="14" spans="2:6" ht="17.45" customHeight="1" x14ac:dyDescent="0.2">
      <c r="B14" s="97">
        <v>7</v>
      </c>
      <c r="C14" s="99" t="s">
        <v>292</v>
      </c>
      <c r="D14" s="674">
        <v>0</v>
      </c>
      <c r="E14" s="675">
        <v>10990</v>
      </c>
      <c r="F14" s="676">
        <f t="shared" ref="F14:F51" si="1">D14*E14</f>
        <v>0</v>
      </c>
    </row>
    <row r="15" spans="2:6" ht="31.9" customHeight="1" x14ac:dyDescent="0.2">
      <c r="B15" s="97">
        <v>8</v>
      </c>
      <c r="C15" s="99" t="s">
        <v>293</v>
      </c>
      <c r="D15" s="674">
        <v>0</v>
      </c>
      <c r="E15" s="675">
        <v>840</v>
      </c>
      <c r="F15" s="676">
        <f t="shared" si="1"/>
        <v>0</v>
      </c>
    </row>
    <row r="16" spans="2:6" ht="26.45" customHeight="1" x14ac:dyDescent="0.2">
      <c r="B16" s="97">
        <v>9</v>
      </c>
      <c r="C16" s="99" t="s">
        <v>294</v>
      </c>
      <c r="D16" s="674">
        <f>5*0</f>
        <v>0</v>
      </c>
      <c r="E16" s="675">
        <v>33033</v>
      </c>
      <c r="F16" s="676">
        <f t="shared" si="1"/>
        <v>0</v>
      </c>
    </row>
    <row r="17" spans="2:6" ht="33" customHeight="1" x14ac:dyDescent="0.2">
      <c r="B17" s="97">
        <v>10</v>
      </c>
      <c r="C17" s="99" t="s">
        <v>295</v>
      </c>
      <c r="D17" s="674">
        <f>5*0</f>
        <v>0</v>
      </c>
      <c r="E17" s="675">
        <v>2952</v>
      </c>
      <c r="F17" s="676">
        <f t="shared" si="1"/>
        <v>0</v>
      </c>
    </row>
    <row r="18" spans="2:6" ht="29.45" customHeight="1" x14ac:dyDescent="0.2">
      <c r="B18" s="97"/>
      <c r="C18" s="99" t="s">
        <v>296</v>
      </c>
      <c r="D18" s="674">
        <f>3*0</f>
        <v>0</v>
      </c>
      <c r="E18" s="675">
        <v>14313</v>
      </c>
      <c r="F18" s="676">
        <f t="shared" si="1"/>
        <v>0</v>
      </c>
    </row>
    <row r="19" spans="2:6" ht="32.450000000000003" customHeight="1" x14ac:dyDescent="0.2">
      <c r="B19" s="97"/>
      <c r="C19" s="99" t="s">
        <v>297</v>
      </c>
      <c r="D19" s="674">
        <f>3*0</f>
        <v>0</v>
      </c>
      <c r="E19" s="675">
        <v>24654</v>
      </c>
      <c r="F19" s="676">
        <f t="shared" si="1"/>
        <v>0</v>
      </c>
    </row>
    <row r="20" spans="2:6" ht="31.15" customHeight="1" x14ac:dyDescent="0.2">
      <c r="B20" s="97"/>
      <c r="C20" s="99" t="s">
        <v>298</v>
      </c>
      <c r="D20" s="674">
        <f>3*0</f>
        <v>0</v>
      </c>
      <c r="E20" s="675">
        <v>1308</v>
      </c>
      <c r="F20" s="676">
        <f t="shared" si="1"/>
        <v>0</v>
      </c>
    </row>
    <row r="21" spans="2:6" ht="33" customHeight="1" x14ac:dyDescent="0.2">
      <c r="B21" s="97"/>
      <c r="C21" s="99" t="s">
        <v>299</v>
      </c>
      <c r="D21" s="674">
        <f>3*0</f>
        <v>0</v>
      </c>
      <c r="E21" s="675">
        <v>32496</v>
      </c>
      <c r="F21" s="676">
        <f t="shared" si="1"/>
        <v>0</v>
      </c>
    </row>
    <row r="22" spans="2:6" ht="15.6" customHeight="1" x14ac:dyDescent="0.2">
      <c r="B22" s="97">
        <v>11</v>
      </c>
      <c r="C22" s="99" t="s">
        <v>300</v>
      </c>
      <c r="D22" s="674">
        <f>5*0</f>
        <v>0</v>
      </c>
      <c r="E22" s="675">
        <v>78100</v>
      </c>
      <c r="F22" s="676">
        <f t="shared" si="1"/>
        <v>0</v>
      </c>
    </row>
    <row r="23" spans="2:6" ht="39.6" customHeight="1" x14ac:dyDescent="0.2">
      <c r="B23" s="107">
        <v>12</v>
      </c>
      <c r="C23" s="99" t="s">
        <v>301</v>
      </c>
      <c r="D23" s="677">
        <v>1</v>
      </c>
      <c r="E23" s="675">
        <v>4163</v>
      </c>
      <c r="F23" s="676">
        <f t="shared" si="1"/>
        <v>4163</v>
      </c>
    </row>
    <row r="24" spans="2:6" ht="19.149999999999999" customHeight="1" x14ac:dyDescent="0.2">
      <c r="B24" s="97">
        <v>13</v>
      </c>
      <c r="C24" s="101" t="s">
        <v>302</v>
      </c>
      <c r="D24" s="679">
        <v>1</v>
      </c>
      <c r="E24" s="675">
        <v>328</v>
      </c>
      <c r="F24" s="676">
        <f t="shared" si="1"/>
        <v>328</v>
      </c>
    </row>
    <row r="25" spans="2:6" ht="47.45" customHeight="1" x14ac:dyDescent="0.2">
      <c r="B25" s="97">
        <v>14</v>
      </c>
      <c r="C25" s="102" t="s">
        <v>303</v>
      </c>
      <c r="D25" s="679">
        <v>1</v>
      </c>
      <c r="E25" s="675">
        <v>581</v>
      </c>
      <c r="F25" s="676">
        <f t="shared" si="1"/>
        <v>581</v>
      </c>
    </row>
    <row r="26" spans="2:6" ht="28.5" x14ac:dyDescent="0.2">
      <c r="B26" s="107">
        <v>15</v>
      </c>
      <c r="C26" s="102" t="s">
        <v>304</v>
      </c>
      <c r="D26" s="679">
        <v>1</v>
      </c>
      <c r="E26" s="675">
        <v>1921</v>
      </c>
      <c r="F26" s="676">
        <f t="shared" si="1"/>
        <v>1921</v>
      </c>
    </row>
    <row r="27" spans="2:6" ht="28.5" x14ac:dyDescent="0.2">
      <c r="B27" s="97">
        <v>16</v>
      </c>
      <c r="C27" s="99" t="s">
        <v>305</v>
      </c>
      <c r="D27" s="674">
        <f>5*0</f>
        <v>0</v>
      </c>
      <c r="E27" s="675">
        <v>408</v>
      </c>
      <c r="F27" s="676">
        <f t="shared" si="1"/>
        <v>0</v>
      </c>
    </row>
    <row r="28" spans="2:6" ht="28.5" x14ac:dyDescent="0.2">
      <c r="B28" s="97">
        <v>17</v>
      </c>
      <c r="C28" s="99" t="s">
        <v>306</v>
      </c>
      <c r="D28" s="674">
        <f>5*0</f>
        <v>0</v>
      </c>
      <c r="E28" s="675">
        <v>3750</v>
      </c>
      <c r="F28" s="676">
        <f t="shared" si="1"/>
        <v>0</v>
      </c>
    </row>
    <row r="29" spans="2:6" ht="28.5" x14ac:dyDescent="0.2">
      <c r="B29" s="97">
        <v>20</v>
      </c>
      <c r="C29" s="103" t="s">
        <v>307</v>
      </c>
      <c r="D29" s="680">
        <f>35*0</f>
        <v>0</v>
      </c>
      <c r="E29" s="675">
        <v>774</v>
      </c>
      <c r="F29" s="676">
        <f t="shared" si="1"/>
        <v>0</v>
      </c>
    </row>
    <row r="30" spans="2:6" ht="28.5" x14ac:dyDescent="0.2">
      <c r="B30" s="97">
        <v>23</v>
      </c>
      <c r="C30" s="103" t="s">
        <v>308</v>
      </c>
      <c r="D30" s="681">
        <f>130*0</f>
        <v>0</v>
      </c>
      <c r="E30" s="675">
        <v>938</v>
      </c>
      <c r="F30" s="675">
        <f t="shared" si="1"/>
        <v>0</v>
      </c>
    </row>
    <row r="31" spans="2:6" ht="14.25" x14ac:dyDescent="0.2">
      <c r="B31" s="97">
        <v>24</v>
      </c>
      <c r="C31" s="104" t="s">
        <v>309</v>
      </c>
      <c r="D31" s="682">
        <v>0</v>
      </c>
      <c r="E31" s="675">
        <v>295</v>
      </c>
      <c r="F31" s="675">
        <f t="shared" si="1"/>
        <v>0</v>
      </c>
    </row>
    <row r="32" spans="2:6" ht="22.15" customHeight="1" x14ac:dyDescent="0.2">
      <c r="B32" s="107"/>
      <c r="C32" s="104" t="s">
        <v>310</v>
      </c>
      <c r="D32" s="679">
        <v>3</v>
      </c>
      <c r="E32" s="675">
        <v>3177</v>
      </c>
      <c r="F32" s="675">
        <f t="shared" si="1"/>
        <v>9531</v>
      </c>
    </row>
    <row r="33" spans="2:6" ht="21" customHeight="1" x14ac:dyDescent="0.2">
      <c r="B33" s="107">
        <v>25</v>
      </c>
      <c r="C33" s="103" t="s">
        <v>311</v>
      </c>
      <c r="D33" s="679">
        <v>6</v>
      </c>
      <c r="E33" s="675">
        <v>440</v>
      </c>
      <c r="F33" s="676">
        <f t="shared" si="1"/>
        <v>2640</v>
      </c>
    </row>
    <row r="34" spans="2:6" ht="28.9" customHeight="1" x14ac:dyDescent="0.2">
      <c r="B34" s="97">
        <v>26</v>
      </c>
      <c r="C34" s="103" t="s">
        <v>312</v>
      </c>
      <c r="D34" s="674">
        <f>5*0</f>
        <v>0</v>
      </c>
      <c r="E34" s="675">
        <v>2766</v>
      </c>
      <c r="F34" s="676">
        <f t="shared" si="1"/>
        <v>0</v>
      </c>
    </row>
    <row r="35" spans="2:6" ht="27.2" customHeight="1" x14ac:dyDescent="0.2">
      <c r="B35" s="97">
        <v>27</v>
      </c>
      <c r="C35" s="103" t="s">
        <v>313</v>
      </c>
      <c r="D35" s="674">
        <f>5*0</f>
        <v>0</v>
      </c>
      <c r="E35" s="675">
        <v>2664</v>
      </c>
      <c r="F35" s="676">
        <f t="shared" si="1"/>
        <v>0</v>
      </c>
    </row>
    <row r="36" spans="2:6" ht="28.5" x14ac:dyDescent="0.2">
      <c r="B36" s="97">
        <v>28</v>
      </c>
      <c r="C36" s="103" t="s">
        <v>314</v>
      </c>
      <c r="D36" s="674">
        <f>5*0</f>
        <v>0</v>
      </c>
      <c r="E36" s="675">
        <v>1572</v>
      </c>
      <c r="F36" s="676">
        <f t="shared" si="1"/>
        <v>0</v>
      </c>
    </row>
    <row r="37" spans="2:6" ht="14.25" x14ac:dyDescent="0.2">
      <c r="B37" s="97">
        <v>29</v>
      </c>
      <c r="C37" s="105" t="s">
        <v>315</v>
      </c>
      <c r="D37" s="680">
        <f>7*0</f>
        <v>0</v>
      </c>
      <c r="E37" s="675">
        <v>800</v>
      </c>
      <c r="F37" s="676">
        <f t="shared" si="1"/>
        <v>0</v>
      </c>
    </row>
    <row r="38" spans="2:6" ht="28.5" x14ac:dyDescent="0.2">
      <c r="B38" s="97">
        <v>30</v>
      </c>
      <c r="C38" s="103" t="s">
        <v>316</v>
      </c>
      <c r="D38" s="674">
        <f>5*0</f>
        <v>0</v>
      </c>
      <c r="E38" s="675">
        <v>2262</v>
      </c>
      <c r="F38" s="676">
        <f t="shared" si="1"/>
        <v>0</v>
      </c>
    </row>
    <row r="39" spans="2:6" ht="28.5" x14ac:dyDescent="0.2">
      <c r="B39" s="97">
        <v>31</v>
      </c>
      <c r="C39" s="103" t="s">
        <v>317</v>
      </c>
      <c r="D39" s="677">
        <v>10</v>
      </c>
      <c r="E39" s="675">
        <v>8400</v>
      </c>
      <c r="F39" s="676">
        <f t="shared" si="1"/>
        <v>84000</v>
      </c>
    </row>
    <row r="40" spans="2:6" ht="28.5" x14ac:dyDescent="0.2">
      <c r="B40" s="107"/>
      <c r="C40" s="103" t="s">
        <v>318</v>
      </c>
      <c r="D40" s="677">
        <v>0</v>
      </c>
      <c r="E40" s="675">
        <v>4300</v>
      </c>
      <c r="F40" s="676">
        <f t="shared" si="1"/>
        <v>0</v>
      </c>
    </row>
    <row r="41" spans="2:6" ht="29.45" customHeight="1" x14ac:dyDescent="0.2">
      <c r="B41" s="107">
        <v>32</v>
      </c>
      <c r="C41" s="103" t="s">
        <v>319</v>
      </c>
      <c r="D41" s="677">
        <v>1</v>
      </c>
      <c r="E41" s="675">
        <v>18000</v>
      </c>
      <c r="F41" s="676">
        <f t="shared" si="1"/>
        <v>18000</v>
      </c>
    </row>
    <row r="42" spans="2:6" ht="29.45" customHeight="1" x14ac:dyDescent="0.2">
      <c r="B42" s="107">
        <v>33</v>
      </c>
      <c r="C42" s="103" t="s">
        <v>605</v>
      </c>
      <c r="D42" s="677">
        <v>2</v>
      </c>
      <c r="E42" s="675">
        <v>75000</v>
      </c>
      <c r="F42" s="676">
        <f t="shared" si="1"/>
        <v>150000</v>
      </c>
    </row>
    <row r="43" spans="2:6" ht="24" customHeight="1" x14ac:dyDescent="0.2">
      <c r="B43" s="107">
        <v>34</v>
      </c>
      <c r="C43" s="103" t="s">
        <v>604</v>
      </c>
      <c r="D43" s="677">
        <f>2.8*2</f>
        <v>5.6</v>
      </c>
      <c r="E43" s="676">
        <v>38500</v>
      </c>
      <c r="F43" s="676">
        <f t="shared" si="1"/>
        <v>215600</v>
      </c>
    </row>
    <row r="44" spans="2:6" ht="17.45" customHeight="1" x14ac:dyDescent="0.2">
      <c r="B44" s="107">
        <v>35</v>
      </c>
      <c r="C44" s="103" t="s">
        <v>320</v>
      </c>
      <c r="D44" s="677">
        <v>1.2</v>
      </c>
      <c r="E44" s="676">
        <v>22200</v>
      </c>
      <c r="F44" s="676">
        <f t="shared" si="1"/>
        <v>26640</v>
      </c>
    </row>
    <row r="45" spans="2:6" ht="16.350000000000001" customHeight="1" x14ac:dyDescent="0.2">
      <c r="B45" s="97">
        <v>36</v>
      </c>
      <c r="C45" s="101" t="s">
        <v>321</v>
      </c>
      <c r="D45" s="678">
        <v>0</v>
      </c>
      <c r="E45" s="676">
        <v>65</v>
      </c>
      <c r="F45" s="676">
        <f t="shared" si="1"/>
        <v>0</v>
      </c>
    </row>
    <row r="46" spans="2:6" ht="14.25" x14ac:dyDescent="0.2">
      <c r="B46" s="97"/>
      <c r="C46" s="106" t="s">
        <v>322</v>
      </c>
      <c r="D46" s="678"/>
      <c r="E46" s="676"/>
      <c r="F46" s="676"/>
    </row>
    <row r="47" spans="2:6" ht="24.4" customHeight="1" x14ac:dyDescent="0.2">
      <c r="B47" s="107">
        <v>37</v>
      </c>
      <c r="C47" s="101" t="s">
        <v>793</v>
      </c>
      <c r="D47" s="677">
        <v>105</v>
      </c>
      <c r="E47" s="676">
        <v>552</v>
      </c>
      <c r="F47" s="676">
        <f t="shared" si="1"/>
        <v>57960</v>
      </c>
    </row>
    <row r="48" spans="2:6" ht="14.25" x14ac:dyDescent="0.2">
      <c r="B48" s="97"/>
      <c r="C48" s="106" t="s">
        <v>323</v>
      </c>
      <c r="D48" s="678"/>
      <c r="E48" s="676"/>
      <c r="F48" s="676"/>
    </row>
    <row r="49" spans="2:6" ht="21.6" customHeight="1" x14ac:dyDescent="0.2">
      <c r="B49" s="107">
        <v>38</v>
      </c>
      <c r="C49" s="101" t="s">
        <v>324</v>
      </c>
      <c r="D49" s="677">
        <v>15</v>
      </c>
      <c r="E49" s="676">
        <v>552</v>
      </c>
      <c r="F49" s="676">
        <f t="shared" si="1"/>
        <v>8280</v>
      </c>
    </row>
    <row r="50" spans="2:6" ht="14.25" x14ac:dyDescent="0.2">
      <c r="B50" s="97"/>
      <c r="C50" s="106" t="s">
        <v>325</v>
      </c>
      <c r="D50" s="678"/>
      <c r="E50" s="676"/>
      <c r="F50" s="676"/>
    </row>
    <row r="51" spans="2:6" ht="24" customHeight="1" x14ac:dyDescent="0.2">
      <c r="B51" s="97">
        <v>39</v>
      </c>
      <c r="C51" s="101" t="s">
        <v>326</v>
      </c>
      <c r="D51" s="683">
        <v>0</v>
      </c>
      <c r="E51" s="676">
        <v>477</v>
      </c>
      <c r="F51" s="676">
        <f t="shared" si="1"/>
        <v>0</v>
      </c>
    </row>
    <row r="52" spans="2:6" ht="14.25" x14ac:dyDescent="0.2">
      <c r="B52" s="97"/>
      <c r="C52" s="100" t="s">
        <v>291</v>
      </c>
      <c r="D52" s="678"/>
      <c r="E52" s="676"/>
      <c r="F52" s="676"/>
    </row>
    <row r="53" spans="2:6" ht="31.9" customHeight="1" x14ac:dyDescent="0.2">
      <c r="B53" s="107">
        <v>47</v>
      </c>
      <c r="C53" s="101" t="s">
        <v>327</v>
      </c>
      <c r="D53" s="677">
        <v>1</v>
      </c>
      <c r="E53" s="675">
        <v>3100</v>
      </c>
      <c r="F53" s="676">
        <f t="shared" ref="F53" si="2">D53*E53</f>
        <v>3100</v>
      </c>
    </row>
    <row r="54" spans="2:6" ht="16.350000000000001" customHeight="1" x14ac:dyDescent="0.2">
      <c r="B54" s="684"/>
      <c r="C54" s="685" t="s">
        <v>328</v>
      </c>
      <c r="D54" s="686">
        <v>1</v>
      </c>
      <c r="E54" s="687">
        <f>E55*0.08</f>
        <v>48950.496000000006</v>
      </c>
      <c r="F54" s="687">
        <f>D54*E54</f>
        <v>48950.496000000006</v>
      </c>
    </row>
    <row r="55" spans="2:6" ht="34.5" customHeight="1" x14ac:dyDescent="0.2">
      <c r="B55" s="724" t="s">
        <v>330</v>
      </c>
      <c r="C55" s="724"/>
      <c r="D55" s="724"/>
      <c r="E55" s="725">
        <f>SUM(F4:F53)*1.05</f>
        <v>611881.20000000007</v>
      </c>
      <c r="F55" s="725"/>
    </row>
    <row r="57" spans="2:6" ht="46.9" customHeight="1" x14ac:dyDescent="0.2"/>
  </sheetData>
  <mergeCells count="2">
    <mergeCell ref="B55:D55"/>
    <mergeCell ref="E55:F5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3:F30"/>
  <sheetViews>
    <sheetView workbookViewId="0">
      <selection activeCell="C27" sqref="C27"/>
    </sheetView>
  </sheetViews>
  <sheetFormatPr defaultRowHeight="12.75" x14ac:dyDescent="0.2"/>
  <cols>
    <col min="2" max="2" width="10.28515625" customWidth="1"/>
    <col min="3" max="3" width="80.28515625" customWidth="1"/>
    <col min="4" max="4" width="13.140625" customWidth="1"/>
    <col min="5" max="5" width="10.85546875" customWidth="1"/>
    <col min="6" max="6" width="12.7109375" customWidth="1"/>
  </cols>
  <sheetData>
    <row r="3" spans="2:6" ht="46.5" customHeight="1" x14ac:dyDescent="0.2">
      <c r="B3" s="688" t="s">
        <v>21</v>
      </c>
      <c r="C3" s="92" t="s">
        <v>280</v>
      </c>
      <c r="D3" s="688" t="s">
        <v>1058</v>
      </c>
      <c r="E3" s="688" t="s">
        <v>1057</v>
      </c>
      <c r="F3" s="688" t="s">
        <v>140</v>
      </c>
    </row>
    <row r="4" spans="2:6" ht="30" customHeight="1" x14ac:dyDescent="0.2">
      <c r="B4" s="91"/>
      <c r="C4" s="689" t="s">
        <v>331</v>
      </c>
      <c r="D4" s="93"/>
      <c r="E4" s="93"/>
      <c r="F4" s="93"/>
    </row>
    <row r="5" spans="2:6" ht="35.450000000000003" customHeight="1" x14ac:dyDescent="0.2">
      <c r="B5" s="108">
        <v>1</v>
      </c>
      <c r="C5" s="109" t="s">
        <v>332</v>
      </c>
      <c r="D5" s="132">
        <v>0</v>
      </c>
      <c r="E5" s="110">
        <v>1722</v>
      </c>
      <c r="F5" s="111">
        <f t="shared" ref="F5:F24" si="0">E5*D5</f>
        <v>0</v>
      </c>
    </row>
    <row r="6" spans="2:6" ht="30.75" customHeight="1" x14ac:dyDescent="0.2">
      <c r="B6" s="108">
        <v>2</v>
      </c>
      <c r="C6" s="112" t="s">
        <v>333</v>
      </c>
      <c r="D6" s="132">
        <v>0</v>
      </c>
      <c r="E6" s="110">
        <v>1550</v>
      </c>
      <c r="F6" s="111">
        <f t="shared" si="0"/>
        <v>0</v>
      </c>
    </row>
    <row r="7" spans="2:6" ht="34.9" customHeight="1" x14ac:dyDescent="0.2">
      <c r="B7" s="108">
        <v>3</v>
      </c>
      <c r="C7" s="112" t="s">
        <v>334</v>
      </c>
      <c r="D7" s="132">
        <v>0</v>
      </c>
      <c r="E7" s="110">
        <v>490</v>
      </c>
      <c r="F7" s="111">
        <f t="shared" si="0"/>
        <v>0</v>
      </c>
    </row>
    <row r="8" spans="2:6" ht="32.450000000000003" customHeight="1" x14ac:dyDescent="0.2">
      <c r="B8" s="108">
        <v>4</v>
      </c>
      <c r="C8" s="112" t="s">
        <v>335</v>
      </c>
      <c r="D8" s="132">
        <v>0</v>
      </c>
      <c r="E8" s="110">
        <v>490</v>
      </c>
      <c r="F8" s="111">
        <f t="shared" si="0"/>
        <v>0</v>
      </c>
    </row>
    <row r="9" spans="2:6" ht="27.2" customHeight="1" x14ac:dyDescent="0.2">
      <c r="B9" s="108">
        <v>5</v>
      </c>
      <c r="C9" s="112" t="s">
        <v>336</v>
      </c>
      <c r="D9" s="132">
        <v>0</v>
      </c>
      <c r="E9" s="110">
        <v>150</v>
      </c>
      <c r="F9" s="111">
        <f t="shared" si="0"/>
        <v>0</v>
      </c>
    </row>
    <row r="10" spans="2:6" ht="31.9" customHeight="1" x14ac:dyDescent="0.2">
      <c r="B10" s="108">
        <v>6</v>
      </c>
      <c r="C10" s="112" t="s">
        <v>337</v>
      </c>
      <c r="D10" s="132">
        <v>0</v>
      </c>
      <c r="E10" s="110">
        <v>1580</v>
      </c>
      <c r="F10" s="111">
        <f t="shared" si="0"/>
        <v>0</v>
      </c>
    </row>
    <row r="11" spans="2:6" ht="33" customHeight="1" x14ac:dyDescent="0.2">
      <c r="B11" s="108">
        <v>7</v>
      </c>
      <c r="C11" s="112" t="s">
        <v>338</v>
      </c>
      <c r="D11" s="132">
        <v>0</v>
      </c>
      <c r="E11" s="110">
        <v>65</v>
      </c>
      <c r="F11" s="111">
        <f t="shared" si="0"/>
        <v>0</v>
      </c>
    </row>
    <row r="12" spans="2:6" ht="36" customHeight="1" x14ac:dyDescent="0.2">
      <c r="B12" s="108">
        <v>8</v>
      </c>
      <c r="C12" s="113" t="s">
        <v>339</v>
      </c>
      <c r="D12" s="132">
        <v>0</v>
      </c>
      <c r="E12" s="110">
        <v>2500</v>
      </c>
      <c r="F12" s="111">
        <f t="shared" si="0"/>
        <v>0</v>
      </c>
    </row>
    <row r="13" spans="2:6" ht="31.15" customHeight="1" x14ac:dyDescent="0.2">
      <c r="B13" s="108">
        <v>9</v>
      </c>
      <c r="C13" s="114" t="s">
        <v>340</v>
      </c>
      <c r="D13" s="132">
        <v>0</v>
      </c>
      <c r="E13" s="110">
        <v>2956.8</v>
      </c>
      <c r="F13" s="111">
        <f t="shared" si="0"/>
        <v>0</v>
      </c>
    </row>
    <row r="14" spans="2:6" ht="36" customHeight="1" x14ac:dyDescent="0.2">
      <c r="B14" s="108">
        <v>10</v>
      </c>
      <c r="C14" s="114" t="s">
        <v>341</v>
      </c>
      <c r="D14" s="132">
        <v>0</v>
      </c>
      <c r="E14" s="110">
        <v>325</v>
      </c>
      <c r="F14" s="111">
        <f t="shared" si="0"/>
        <v>0</v>
      </c>
    </row>
    <row r="15" spans="2:6" ht="21" customHeight="1" x14ac:dyDescent="0.2">
      <c r="B15" s="108">
        <v>11</v>
      </c>
      <c r="C15" s="115" t="s">
        <v>342</v>
      </c>
      <c r="D15" s="132">
        <v>3</v>
      </c>
      <c r="E15" s="110">
        <v>510</v>
      </c>
      <c r="F15" s="111">
        <f t="shared" si="0"/>
        <v>1530</v>
      </c>
    </row>
    <row r="16" spans="2:6" ht="28.15" customHeight="1" x14ac:dyDescent="0.2">
      <c r="B16" s="108">
        <v>12</v>
      </c>
      <c r="C16" s="112" t="s">
        <v>343</v>
      </c>
      <c r="D16" s="132">
        <v>4</v>
      </c>
      <c r="E16" s="110">
        <v>460</v>
      </c>
      <c r="F16" s="111">
        <f t="shared" si="0"/>
        <v>1840</v>
      </c>
    </row>
    <row r="17" spans="2:6" ht="38.450000000000003" customHeight="1" x14ac:dyDescent="0.2">
      <c r="B17" s="108">
        <v>13</v>
      </c>
      <c r="C17" s="112" t="s">
        <v>344</v>
      </c>
      <c r="D17" s="132">
        <v>0</v>
      </c>
      <c r="E17" s="110">
        <v>2172</v>
      </c>
      <c r="F17" s="111">
        <f t="shared" si="0"/>
        <v>0</v>
      </c>
    </row>
    <row r="18" spans="2:6" ht="39" customHeight="1" x14ac:dyDescent="0.2">
      <c r="B18" s="108">
        <v>14</v>
      </c>
      <c r="C18" s="112" t="s">
        <v>345</v>
      </c>
      <c r="D18" s="132">
        <v>0</v>
      </c>
      <c r="E18" s="110">
        <v>1350</v>
      </c>
      <c r="F18" s="111">
        <f t="shared" si="0"/>
        <v>0</v>
      </c>
    </row>
    <row r="19" spans="2:6" ht="38.450000000000003" customHeight="1" x14ac:dyDescent="0.2">
      <c r="B19" s="108">
        <v>15</v>
      </c>
      <c r="C19" s="112" t="s">
        <v>346</v>
      </c>
      <c r="D19" s="132">
        <v>0</v>
      </c>
      <c r="E19" s="110">
        <v>675</v>
      </c>
      <c r="F19" s="111">
        <f t="shared" si="0"/>
        <v>0</v>
      </c>
    </row>
    <row r="20" spans="2:6" ht="31.15" customHeight="1" x14ac:dyDescent="0.2">
      <c r="B20" s="108">
        <v>16</v>
      </c>
      <c r="C20" s="112" t="s">
        <v>347</v>
      </c>
      <c r="D20" s="132">
        <v>0</v>
      </c>
      <c r="E20" s="110">
        <v>1290</v>
      </c>
      <c r="F20" s="111">
        <f t="shared" si="0"/>
        <v>0</v>
      </c>
    </row>
    <row r="21" spans="2:6" ht="38.450000000000003" customHeight="1" x14ac:dyDescent="0.2">
      <c r="B21" s="108">
        <v>17</v>
      </c>
      <c r="C21" s="112" t="s">
        <v>348</v>
      </c>
      <c r="D21" s="132">
        <v>3</v>
      </c>
      <c r="E21" s="110">
        <v>6000</v>
      </c>
      <c r="F21" s="111">
        <f t="shared" si="0"/>
        <v>18000</v>
      </c>
    </row>
    <row r="22" spans="2:6" ht="18" customHeight="1" x14ac:dyDescent="0.2">
      <c r="B22" s="116"/>
      <c r="C22" s="690" t="s">
        <v>349</v>
      </c>
      <c r="D22" s="117"/>
      <c r="E22" s="117"/>
      <c r="F22" s="117"/>
    </row>
    <row r="23" spans="2:6" ht="23.65" customHeight="1" x14ac:dyDescent="0.2">
      <c r="B23" s="108">
        <v>18</v>
      </c>
      <c r="C23" s="691" t="s">
        <v>350</v>
      </c>
      <c r="D23" s="131">
        <v>5</v>
      </c>
      <c r="E23" s="110">
        <v>10200</v>
      </c>
      <c r="F23" s="111">
        <f t="shared" si="0"/>
        <v>51000</v>
      </c>
    </row>
    <row r="24" spans="2:6" ht="14.25" x14ac:dyDescent="0.2">
      <c r="B24" s="108">
        <v>32</v>
      </c>
      <c r="C24" s="118" t="s">
        <v>351</v>
      </c>
      <c r="D24" s="130">
        <v>20</v>
      </c>
      <c r="E24" s="110">
        <v>220</v>
      </c>
      <c r="F24" s="111">
        <f t="shared" si="0"/>
        <v>4400</v>
      </c>
    </row>
    <row r="25" spans="2:6" ht="19.899999999999999" customHeight="1" x14ac:dyDescent="0.2">
      <c r="B25" s="116"/>
      <c r="C25" s="119" t="s">
        <v>352</v>
      </c>
      <c r="D25" s="120"/>
      <c r="E25" s="121"/>
      <c r="F25" s="122"/>
    </row>
    <row r="26" spans="2:6" ht="22.15" customHeight="1" x14ac:dyDescent="0.2">
      <c r="B26" s="108">
        <v>33</v>
      </c>
      <c r="C26" s="118" t="s">
        <v>353</v>
      </c>
      <c r="D26" s="130">
        <f>43*0</f>
        <v>0</v>
      </c>
      <c r="E26" s="110">
        <v>7020</v>
      </c>
      <c r="F26" s="111">
        <f t="shared" ref="F26" si="1">E26*D26</f>
        <v>0</v>
      </c>
    </row>
    <row r="27" spans="2:6" ht="37.15" customHeight="1" x14ac:dyDescent="0.2">
      <c r="B27" s="108">
        <v>34</v>
      </c>
      <c r="C27" s="123" t="s">
        <v>354</v>
      </c>
      <c r="D27" s="133">
        <f>77*0</f>
        <v>0</v>
      </c>
      <c r="E27" s="110">
        <v>10140</v>
      </c>
      <c r="F27" s="124">
        <f>D27*E27</f>
        <v>0</v>
      </c>
    </row>
    <row r="28" spans="2:6" ht="38.450000000000003" customHeight="1" x14ac:dyDescent="0.2">
      <c r="B28" s="97"/>
      <c r="C28" s="693" t="s">
        <v>328</v>
      </c>
      <c r="D28" s="129">
        <v>1</v>
      </c>
      <c r="E28" s="125">
        <f>(SUM(F5:F27)*0.08)</f>
        <v>6141.6</v>
      </c>
      <c r="F28" s="125">
        <f>D28*E28</f>
        <v>6141.6</v>
      </c>
    </row>
    <row r="29" spans="2:6" ht="33.200000000000003" customHeight="1" x14ac:dyDescent="0.2">
      <c r="B29" s="726" t="s">
        <v>355</v>
      </c>
      <c r="C29" s="726"/>
      <c r="D29" s="726"/>
      <c r="E29" s="726"/>
      <c r="F29" s="692">
        <f>SUM(F5:F27)*1.05</f>
        <v>80608.5</v>
      </c>
    </row>
    <row r="30" spans="2:6" ht="14.25" x14ac:dyDescent="0.2">
      <c r="B30" s="126"/>
      <c r="C30" s="127"/>
      <c r="D30" s="128"/>
      <c r="E30" s="128"/>
      <c r="F30" s="128"/>
    </row>
  </sheetData>
  <mergeCells count="1">
    <mergeCell ref="B29:E2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3:M55"/>
  <sheetViews>
    <sheetView topLeftCell="A4" workbookViewId="0">
      <selection activeCell="F99" sqref="F99"/>
    </sheetView>
  </sheetViews>
  <sheetFormatPr defaultColWidth="8.7109375" defaultRowHeight="12.75" x14ac:dyDescent="0.2"/>
  <cols>
    <col min="1" max="3" width="8.7109375" customWidth="1"/>
    <col min="4" max="4" width="23.5703125" customWidth="1"/>
    <col min="5" max="5" width="8.7109375" customWidth="1"/>
    <col min="6" max="6" width="16.28515625" customWidth="1"/>
    <col min="7" max="7" width="7.28515625" customWidth="1"/>
    <col min="8" max="8" width="26.7109375" style="4" customWidth="1"/>
    <col min="11" max="11" width="16.28515625" customWidth="1"/>
    <col min="13" max="13" width="10.28515625" bestFit="1" customWidth="1"/>
  </cols>
  <sheetData>
    <row r="3" spans="2:13" x14ac:dyDescent="0.2">
      <c r="H3" s="1"/>
      <c r="I3" s="2"/>
    </row>
    <row r="5" spans="2:13" x14ac:dyDescent="0.2">
      <c r="H5" s="1"/>
      <c r="I5" s="2"/>
      <c r="L5" t="s">
        <v>95</v>
      </c>
    </row>
    <row r="6" spans="2:13" x14ac:dyDescent="0.2">
      <c r="B6" s="3"/>
      <c r="C6" s="3"/>
      <c r="D6" s="3"/>
      <c r="E6" s="3" t="s">
        <v>7</v>
      </c>
      <c r="F6" s="3"/>
      <c r="G6" s="3"/>
    </row>
    <row r="7" spans="2:13" ht="13.5" thickBot="1" x14ac:dyDescent="0.25">
      <c r="B7" s="3"/>
      <c r="C7" s="3"/>
      <c r="D7" s="3"/>
      <c r="E7" s="3" t="s">
        <v>37</v>
      </c>
      <c r="F7" s="3" t="s">
        <v>9</v>
      </c>
      <c r="G7" s="3" t="s">
        <v>8</v>
      </c>
      <c r="H7" s="4" t="s">
        <v>50</v>
      </c>
      <c r="K7" s="32" t="s">
        <v>96</v>
      </c>
      <c r="L7" s="31">
        <v>32.11</v>
      </c>
      <c r="M7" s="35">
        <v>43201</v>
      </c>
    </row>
    <row r="8" spans="2:13" ht="13.5" thickBot="1" x14ac:dyDescent="0.25">
      <c r="B8" s="6" t="s">
        <v>10</v>
      </c>
      <c r="C8" s="7" t="s">
        <v>78</v>
      </c>
      <c r="D8" s="8"/>
      <c r="E8" s="26">
        <f t="shared" ref="E8:E19" si="0">F8+G8</f>
        <v>706</v>
      </c>
      <c r="F8" s="9">
        <v>85</v>
      </c>
      <c r="G8" s="38">
        <f>450*1.38</f>
        <v>621</v>
      </c>
      <c r="H8" s="37" t="s">
        <v>101</v>
      </c>
      <c r="J8" t="s">
        <v>105</v>
      </c>
      <c r="K8" s="32" t="s">
        <v>97</v>
      </c>
      <c r="L8" s="31">
        <v>25.98</v>
      </c>
      <c r="M8" s="35">
        <v>43201</v>
      </c>
    </row>
    <row r="9" spans="2:13" ht="13.5" thickBot="1" x14ac:dyDescent="0.25">
      <c r="B9" s="11" t="s">
        <v>10</v>
      </c>
      <c r="C9" s="5" t="s">
        <v>79</v>
      </c>
      <c r="D9" s="12"/>
      <c r="E9" s="26">
        <f t="shared" si="0"/>
        <v>706</v>
      </c>
      <c r="F9" s="13">
        <v>85</v>
      </c>
      <c r="G9" s="38">
        <f>460*1.35</f>
        <v>621</v>
      </c>
      <c r="H9" s="37" t="s">
        <v>101</v>
      </c>
      <c r="J9" t="s">
        <v>109</v>
      </c>
      <c r="K9" s="32" t="s">
        <v>98</v>
      </c>
      <c r="L9" s="31">
        <v>0.42</v>
      </c>
      <c r="M9" s="35">
        <v>43201</v>
      </c>
    </row>
    <row r="10" spans="2:13" ht="13.5" thickBot="1" x14ac:dyDescent="0.25">
      <c r="B10" s="11" t="s">
        <v>10</v>
      </c>
      <c r="C10" s="5" t="s">
        <v>103</v>
      </c>
      <c r="D10" s="12"/>
      <c r="E10" s="26">
        <f t="shared" si="0"/>
        <v>189.05999999999997</v>
      </c>
      <c r="F10" s="13">
        <v>0</v>
      </c>
      <c r="G10" s="10">
        <f>137*1.38</f>
        <v>189.05999999999997</v>
      </c>
      <c r="H10" s="4" t="s">
        <v>102</v>
      </c>
      <c r="J10" t="s">
        <v>110</v>
      </c>
      <c r="K10" s="33"/>
    </row>
    <row r="11" spans="2:13" x14ac:dyDescent="0.2">
      <c r="B11" s="11" t="s">
        <v>10</v>
      </c>
      <c r="C11" s="5" t="s">
        <v>38</v>
      </c>
      <c r="D11" s="12"/>
      <c r="E11" s="26">
        <f t="shared" si="0"/>
        <v>326.39999999999998</v>
      </c>
      <c r="F11" s="13">
        <v>85</v>
      </c>
      <c r="G11" s="38">
        <f>170*1.42</f>
        <v>241.39999999999998</v>
      </c>
      <c r="H11" s="37" t="s">
        <v>101</v>
      </c>
      <c r="J11" t="s">
        <v>104</v>
      </c>
    </row>
    <row r="12" spans="2:13" x14ac:dyDescent="0.2">
      <c r="B12" s="11" t="s">
        <v>10</v>
      </c>
      <c r="C12" s="5" t="s">
        <v>20</v>
      </c>
      <c r="D12" s="12"/>
      <c r="E12" s="29"/>
      <c r="F12" s="13">
        <v>30</v>
      </c>
      <c r="G12" s="14">
        <v>50</v>
      </c>
      <c r="K12" s="32" t="s">
        <v>106</v>
      </c>
    </row>
    <row r="13" spans="2:13" x14ac:dyDescent="0.2">
      <c r="B13" s="11" t="s">
        <v>10</v>
      </c>
      <c r="C13" s="5" t="s">
        <v>92</v>
      </c>
      <c r="D13" s="12"/>
      <c r="E13" s="26">
        <f t="shared" si="0"/>
        <v>1680</v>
      </c>
      <c r="F13" s="13">
        <v>170</v>
      </c>
      <c r="G13" s="36">
        <v>1510</v>
      </c>
      <c r="K13" s="32" t="s">
        <v>107</v>
      </c>
    </row>
    <row r="14" spans="2:13" x14ac:dyDescent="0.2">
      <c r="B14" s="11" t="s">
        <v>10</v>
      </c>
      <c r="C14" s="5" t="s">
        <v>93</v>
      </c>
      <c r="D14" s="12"/>
      <c r="E14" s="26">
        <f t="shared" si="0"/>
        <v>1860</v>
      </c>
      <c r="F14" s="13">
        <v>170</v>
      </c>
      <c r="G14" s="36">
        <v>1690</v>
      </c>
    </row>
    <row r="15" spans="2:13" x14ac:dyDescent="0.2">
      <c r="B15" s="11" t="s">
        <v>10</v>
      </c>
      <c r="C15" s="5" t="s">
        <v>100</v>
      </c>
      <c r="D15" s="12"/>
      <c r="E15" s="26">
        <f t="shared" si="0"/>
        <v>2020</v>
      </c>
      <c r="F15" s="13">
        <v>170</v>
      </c>
      <c r="G15" s="36">
        <v>1850</v>
      </c>
      <c r="H15" s="28"/>
    </row>
    <row r="16" spans="2:13" x14ac:dyDescent="0.2">
      <c r="B16" s="11" t="s">
        <v>10</v>
      </c>
      <c r="C16" s="5" t="s">
        <v>94</v>
      </c>
      <c r="D16" s="12"/>
      <c r="E16" s="29">
        <f t="shared" si="0"/>
        <v>2760</v>
      </c>
      <c r="F16" s="13">
        <v>160</v>
      </c>
      <c r="G16" s="14">
        <v>2600</v>
      </c>
      <c r="H16" s="28"/>
    </row>
    <row r="17" spans="2:12" x14ac:dyDescent="0.2">
      <c r="B17" s="11" t="s">
        <v>10</v>
      </c>
      <c r="C17" s="5" t="s">
        <v>19</v>
      </c>
      <c r="D17" s="12"/>
      <c r="E17" s="26">
        <f t="shared" si="0"/>
        <v>275</v>
      </c>
      <c r="F17" s="13">
        <v>85</v>
      </c>
      <c r="G17" s="14">
        <f>190</f>
        <v>190</v>
      </c>
      <c r="H17" s="4" t="s">
        <v>108</v>
      </c>
      <c r="J17" t="s">
        <v>109</v>
      </c>
      <c r="K17" s="39">
        <v>985831000</v>
      </c>
    </row>
    <row r="18" spans="2:12" x14ac:dyDescent="0.2">
      <c r="B18" s="11" t="s">
        <v>11</v>
      </c>
      <c r="C18" s="5" t="s">
        <v>12</v>
      </c>
      <c r="D18" s="12"/>
      <c r="E18" s="26">
        <f t="shared" si="0"/>
        <v>22035</v>
      </c>
      <c r="F18" s="13">
        <v>350</v>
      </c>
      <c r="G18" s="36">
        <v>21685</v>
      </c>
    </row>
    <row r="19" spans="2:12" ht="13.5" thickBot="1" x14ac:dyDescent="0.25">
      <c r="B19" s="15" t="s">
        <v>11</v>
      </c>
      <c r="C19" s="16" t="s">
        <v>13</v>
      </c>
      <c r="D19" s="17"/>
      <c r="E19" s="30">
        <f t="shared" si="0"/>
        <v>1080</v>
      </c>
      <c r="F19" s="18">
        <v>100</v>
      </c>
      <c r="G19" s="19">
        <v>980</v>
      </c>
    </row>
    <row r="20" spans="2:12" x14ac:dyDescent="0.2">
      <c r="B20" s="20"/>
      <c r="D20" s="21"/>
      <c r="E20" s="22"/>
      <c r="F20" s="21"/>
      <c r="G20" s="21"/>
    </row>
    <row r="21" spans="2:12" x14ac:dyDescent="0.2">
      <c r="B21" s="21"/>
      <c r="C21" s="21"/>
      <c r="D21" s="21"/>
      <c r="E21" s="21"/>
      <c r="F21" s="21"/>
      <c r="G21" s="21"/>
    </row>
    <row r="22" spans="2:12" x14ac:dyDescent="0.2">
      <c r="B22" s="21"/>
      <c r="C22" s="21"/>
      <c r="D22" s="21"/>
      <c r="E22" s="21"/>
      <c r="F22" s="21"/>
      <c r="G22" s="21"/>
    </row>
    <row r="23" spans="2:12" ht="39" thickBot="1" x14ac:dyDescent="0.25">
      <c r="B23" s="15" t="s">
        <v>14</v>
      </c>
      <c r="C23" s="17" t="s">
        <v>15</v>
      </c>
      <c r="D23" s="17"/>
      <c r="E23" s="23">
        <f>F23+G23</f>
        <v>20</v>
      </c>
      <c r="F23" s="18">
        <v>5</v>
      </c>
      <c r="G23" s="19">
        <v>15</v>
      </c>
      <c r="J23" s="25" t="s">
        <v>52</v>
      </c>
      <c r="K23" t="s">
        <v>53</v>
      </c>
    </row>
    <row r="24" spans="2:12" x14ac:dyDescent="0.2">
      <c r="B24" s="21" t="s">
        <v>18</v>
      </c>
      <c r="C24" s="21" t="s">
        <v>39</v>
      </c>
      <c r="D24" s="21"/>
      <c r="E24" s="21">
        <f>F24+G24</f>
        <v>964.85</v>
      </c>
      <c r="F24" s="21">
        <f>15%*G24</f>
        <v>125.85</v>
      </c>
      <c r="G24" s="21">
        <v>839</v>
      </c>
      <c r="H24" s="4">
        <v>0.55000000000000004</v>
      </c>
      <c r="I24" t="s">
        <v>51</v>
      </c>
      <c r="J24">
        <v>10</v>
      </c>
      <c r="K24" s="24">
        <f>J24*E24</f>
        <v>9648.5</v>
      </c>
      <c r="L24" s="4" t="s">
        <v>80</v>
      </c>
    </row>
    <row r="25" spans="2:12" x14ac:dyDescent="0.2">
      <c r="B25" s="21" t="s">
        <v>18</v>
      </c>
      <c r="C25" s="21" t="s">
        <v>40</v>
      </c>
      <c r="D25" s="21"/>
      <c r="E25" s="21">
        <f t="shared" ref="E25:E53" si="1">F25+G25</f>
        <v>466.9</v>
      </c>
      <c r="F25" s="21">
        <f t="shared" ref="F25:F47" si="2">15%*G25</f>
        <v>60.9</v>
      </c>
      <c r="G25" s="21">
        <v>406</v>
      </c>
      <c r="H25" s="4">
        <v>0.25</v>
      </c>
      <c r="I25" t="s">
        <v>51</v>
      </c>
      <c r="J25">
        <v>1</v>
      </c>
      <c r="K25" s="24">
        <f t="shared" ref="K25:K34" si="3">J25*E25</f>
        <v>466.9</v>
      </c>
    </row>
    <row r="26" spans="2:12" x14ac:dyDescent="0.2">
      <c r="B26" s="21" t="s">
        <v>18</v>
      </c>
      <c r="C26" s="21" t="s">
        <v>41</v>
      </c>
      <c r="D26" s="21"/>
      <c r="E26" s="21">
        <f t="shared" si="1"/>
        <v>466.9</v>
      </c>
      <c r="F26" s="21">
        <f t="shared" si="2"/>
        <v>60.9</v>
      </c>
      <c r="G26" s="21">
        <v>406</v>
      </c>
      <c r="H26" s="4">
        <v>0.17</v>
      </c>
      <c r="I26" t="s">
        <v>51</v>
      </c>
      <c r="J26">
        <v>1</v>
      </c>
      <c r="K26" s="24">
        <f t="shared" si="3"/>
        <v>466.9</v>
      </c>
    </row>
    <row r="27" spans="2:12" x14ac:dyDescent="0.2">
      <c r="B27" s="21" t="s">
        <v>18</v>
      </c>
      <c r="C27" s="21" t="s">
        <v>42</v>
      </c>
      <c r="D27" s="21"/>
      <c r="E27" s="21">
        <f t="shared" si="1"/>
        <v>788.9</v>
      </c>
      <c r="F27" s="21">
        <f t="shared" si="2"/>
        <v>102.89999999999999</v>
      </c>
      <c r="G27" s="21">
        <v>686</v>
      </c>
      <c r="H27" s="4">
        <v>0.46</v>
      </c>
      <c r="I27" t="s">
        <v>51</v>
      </c>
      <c r="J27">
        <v>19</v>
      </c>
      <c r="K27" s="24">
        <f t="shared" si="3"/>
        <v>14989.1</v>
      </c>
    </row>
    <row r="28" spans="2:12" x14ac:dyDescent="0.2">
      <c r="B28" s="21" t="s">
        <v>18</v>
      </c>
      <c r="C28" s="21" t="s">
        <v>43</v>
      </c>
      <c r="D28" s="21"/>
      <c r="E28" s="21">
        <f t="shared" si="1"/>
        <v>391</v>
      </c>
      <c r="F28" s="21">
        <f t="shared" si="2"/>
        <v>51</v>
      </c>
      <c r="G28" s="21">
        <v>340</v>
      </c>
      <c r="H28" s="4">
        <v>0.22</v>
      </c>
      <c r="I28" t="s">
        <v>51</v>
      </c>
      <c r="J28">
        <v>2</v>
      </c>
      <c r="K28" s="24">
        <f t="shared" si="3"/>
        <v>782</v>
      </c>
    </row>
    <row r="29" spans="2:12" x14ac:dyDescent="0.2">
      <c r="B29" s="21" t="s">
        <v>18</v>
      </c>
      <c r="C29" s="21" t="s">
        <v>44</v>
      </c>
      <c r="D29" s="21"/>
      <c r="E29" s="21">
        <f t="shared" si="1"/>
        <v>920</v>
      </c>
      <c r="F29" s="21">
        <f t="shared" si="2"/>
        <v>120</v>
      </c>
      <c r="G29" s="21">
        <v>800</v>
      </c>
      <c r="H29" s="4">
        <v>0.57999999999999996</v>
      </c>
      <c r="I29" t="s">
        <v>51</v>
      </c>
      <c r="J29">
        <v>114</v>
      </c>
      <c r="K29" s="24">
        <f t="shared" si="3"/>
        <v>104880</v>
      </c>
    </row>
    <row r="30" spans="2:12" x14ac:dyDescent="0.2">
      <c r="B30" s="21" t="s">
        <v>18</v>
      </c>
      <c r="C30" s="21" t="s">
        <v>45</v>
      </c>
      <c r="D30" s="21"/>
      <c r="E30" s="21">
        <f t="shared" si="1"/>
        <v>234.6</v>
      </c>
      <c r="F30" s="21">
        <f t="shared" si="2"/>
        <v>30.599999999999998</v>
      </c>
      <c r="G30" s="21">
        <v>204</v>
      </c>
      <c r="H30" s="4">
        <v>0.28999999999999998</v>
      </c>
      <c r="I30" t="s">
        <v>51</v>
      </c>
      <c r="J30">
        <v>35</v>
      </c>
      <c r="K30" s="24">
        <f t="shared" si="3"/>
        <v>8211</v>
      </c>
    </row>
    <row r="31" spans="2:12" x14ac:dyDescent="0.2">
      <c r="B31" s="21" t="s">
        <v>18</v>
      </c>
      <c r="C31" s="21" t="s">
        <v>46</v>
      </c>
      <c r="D31" s="21"/>
      <c r="E31" s="21">
        <f t="shared" si="1"/>
        <v>782</v>
      </c>
      <c r="F31" s="21">
        <f t="shared" si="2"/>
        <v>102</v>
      </c>
      <c r="G31" s="21">
        <v>680</v>
      </c>
      <c r="H31" s="4">
        <v>0.22</v>
      </c>
      <c r="I31" t="s">
        <v>51</v>
      </c>
      <c r="J31">
        <v>35</v>
      </c>
      <c r="K31" s="24">
        <f t="shared" si="3"/>
        <v>27370</v>
      </c>
    </row>
    <row r="32" spans="2:12" x14ac:dyDescent="0.2">
      <c r="B32" s="21" t="s">
        <v>18</v>
      </c>
      <c r="C32" s="21" t="s">
        <v>47</v>
      </c>
      <c r="D32" s="21"/>
      <c r="E32" s="21">
        <f t="shared" si="1"/>
        <v>234.6</v>
      </c>
      <c r="F32" s="21">
        <f t="shared" si="2"/>
        <v>30.599999999999998</v>
      </c>
      <c r="G32" s="21">
        <v>204</v>
      </c>
      <c r="H32" s="4">
        <v>0.14000000000000001</v>
      </c>
      <c r="I32" t="s">
        <v>51</v>
      </c>
      <c r="J32">
        <v>38</v>
      </c>
      <c r="K32" s="24">
        <f t="shared" si="3"/>
        <v>8914.7999999999993</v>
      </c>
    </row>
    <row r="33" spans="2:12" x14ac:dyDescent="0.2">
      <c r="B33" s="21" t="s">
        <v>18</v>
      </c>
      <c r="C33" t="s">
        <v>48</v>
      </c>
      <c r="E33" s="21">
        <f t="shared" si="1"/>
        <v>379.5</v>
      </c>
      <c r="F33" s="21">
        <f t="shared" si="2"/>
        <v>49.5</v>
      </c>
      <c r="G33" s="21">
        <v>330</v>
      </c>
      <c r="H33" s="4">
        <v>0.43</v>
      </c>
      <c r="I33" t="s">
        <v>51</v>
      </c>
      <c r="J33">
        <v>11</v>
      </c>
      <c r="K33" s="24">
        <f t="shared" si="3"/>
        <v>4174.5</v>
      </c>
    </row>
    <row r="34" spans="2:12" x14ac:dyDescent="0.2">
      <c r="B34" s="21" t="s">
        <v>18</v>
      </c>
      <c r="C34" t="s">
        <v>49</v>
      </c>
      <c r="E34" s="21">
        <f t="shared" si="1"/>
        <v>161</v>
      </c>
      <c r="F34" s="21">
        <f t="shared" si="2"/>
        <v>21</v>
      </c>
      <c r="G34" s="21">
        <v>140</v>
      </c>
      <c r="H34" s="4">
        <v>0.16</v>
      </c>
      <c r="I34" t="s">
        <v>51</v>
      </c>
      <c r="J34">
        <v>11</v>
      </c>
      <c r="K34" s="24">
        <f t="shared" si="3"/>
        <v>1771</v>
      </c>
    </row>
    <row r="35" spans="2:12" x14ac:dyDescent="0.2">
      <c r="E35" s="21">
        <f t="shared" si="1"/>
        <v>0</v>
      </c>
      <c r="F35" s="21">
        <f t="shared" si="2"/>
        <v>0</v>
      </c>
    </row>
    <row r="36" spans="2:12" x14ac:dyDescent="0.2">
      <c r="B36" s="21" t="s">
        <v>18</v>
      </c>
      <c r="C36" t="s">
        <v>54</v>
      </c>
      <c r="E36" s="21">
        <f t="shared" si="1"/>
        <v>3680</v>
      </c>
      <c r="F36" s="21">
        <f t="shared" si="2"/>
        <v>480</v>
      </c>
      <c r="G36" s="21">
        <v>3200</v>
      </c>
    </row>
    <row r="37" spans="2:12" x14ac:dyDescent="0.2">
      <c r="B37" s="21" t="s">
        <v>18</v>
      </c>
      <c r="C37" t="s">
        <v>55</v>
      </c>
      <c r="E37" s="21">
        <f t="shared" si="1"/>
        <v>3156.75</v>
      </c>
      <c r="F37" s="21">
        <f t="shared" si="2"/>
        <v>411.75</v>
      </c>
      <c r="G37" s="21">
        <v>2745</v>
      </c>
    </row>
    <row r="38" spans="2:12" x14ac:dyDescent="0.2">
      <c r="B38" s="21" t="s">
        <v>18</v>
      </c>
      <c r="C38" t="s">
        <v>55</v>
      </c>
      <c r="E38" s="21">
        <f t="shared" si="1"/>
        <v>3410.9</v>
      </c>
      <c r="F38" s="21">
        <f t="shared" si="2"/>
        <v>444.9</v>
      </c>
      <c r="G38" s="21">
        <v>2966</v>
      </c>
      <c r="I38" s="727" t="s">
        <v>81</v>
      </c>
      <c r="J38" s="727"/>
      <c r="K38" s="727"/>
    </row>
    <row r="39" spans="2:12" x14ac:dyDescent="0.2">
      <c r="E39" s="21">
        <f t="shared" si="1"/>
        <v>0</v>
      </c>
      <c r="F39" s="21">
        <f t="shared" si="2"/>
        <v>0</v>
      </c>
      <c r="J39" t="s">
        <v>85</v>
      </c>
      <c r="K39" t="s">
        <v>86</v>
      </c>
      <c r="L39" t="s">
        <v>87</v>
      </c>
    </row>
    <row r="40" spans="2:12" x14ac:dyDescent="0.2">
      <c r="B40" s="21" t="s">
        <v>18</v>
      </c>
      <c r="C40" t="s">
        <v>56</v>
      </c>
      <c r="E40" s="21">
        <f t="shared" si="1"/>
        <v>193.2</v>
      </c>
      <c r="F40" s="21">
        <f t="shared" si="2"/>
        <v>25.2</v>
      </c>
      <c r="G40" s="21">
        <f>56*3</f>
        <v>168</v>
      </c>
      <c r="I40" t="s">
        <v>82</v>
      </c>
      <c r="J40" s="34">
        <v>550</v>
      </c>
      <c r="K40" s="34">
        <v>820</v>
      </c>
      <c r="L40">
        <v>1200</v>
      </c>
    </row>
    <row r="41" spans="2:12" x14ac:dyDescent="0.2">
      <c r="B41" s="21" t="s">
        <v>18</v>
      </c>
      <c r="C41" t="s">
        <v>57</v>
      </c>
      <c r="E41" s="27">
        <f t="shared" si="1"/>
        <v>345</v>
      </c>
      <c r="F41" s="21">
        <f t="shared" si="2"/>
        <v>45</v>
      </c>
      <c r="G41" s="21">
        <f>100*3</f>
        <v>300</v>
      </c>
      <c r="I41" t="s">
        <v>83</v>
      </c>
      <c r="J41" s="34">
        <v>650</v>
      </c>
      <c r="K41" s="34">
        <v>850</v>
      </c>
      <c r="L41">
        <v>1280</v>
      </c>
    </row>
    <row r="42" spans="2:12" x14ac:dyDescent="0.2">
      <c r="B42" s="21" t="s">
        <v>18</v>
      </c>
      <c r="C42" t="s">
        <v>88</v>
      </c>
      <c r="E42" s="21">
        <f t="shared" si="1"/>
        <v>267.375</v>
      </c>
      <c r="F42" s="21">
        <f t="shared" si="2"/>
        <v>34.875</v>
      </c>
      <c r="G42" s="21">
        <f>93*2.5</f>
        <v>232.5</v>
      </c>
      <c r="I42" t="s">
        <v>84</v>
      </c>
      <c r="J42" s="34">
        <v>720</v>
      </c>
      <c r="K42" s="34">
        <v>850</v>
      </c>
      <c r="L42">
        <v>1280</v>
      </c>
    </row>
    <row r="43" spans="2:12" x14ac:dyDescent="0.2">
      <c r="B43" s="21" t="s">
        <v>18</v>
      </c>
      <c r="C43" t="s">
        <v>91</v>
      </c>
      <c r="E43" s="27">
        <f t="shared" si="1"/>
        <v>161</v>
      </c>
      <c r="F43" s="21">
        <f t="shared" si="2"/>
        <v>21</v>
      </c>
      <c r="G43" s="21">
        <v>140</v>
      </c>
    </row>
    <row r="44" spans="2:12" x14ac:dyDescent="0.2">
      <c r="B44" s="21" t="s">
        <v>18</v>
      </c>
      <c r="C44" t="s">
        <v>58</v>
      </c>
      <c r="E44" s="21">
        <f t="shared" si="1"/>
        <v>538.20000000000005</v>
      </c>
      <c r="F44" s="21">
        <f t="shared" si="2"/>
        <v>70.2</v>
      </c>
      <c r="G44" s="21">
        <v>468</v>
      </c>
    </row>
    <row r="45" spans="2:12" x14ac:dyDescent="0.2">
      <c r="B45" s="21" t="s">
        <v>18</v>
      </c>
      <c r="C45" t="s">
        <v>59</v>
      </c>
      <c r="E45" s="21">
        <f t="shared" si="1"/>
        <v>232.3</v>
      </c>
      <c r="F45" s="21">
        <f t="shared" si="2"/>
        <v>30.299999999999997</v>
      </c>
      <c r="G45" s="21">
        <v>202</v>
      </c>
    </row>
    <row r="46" spans="2:12" x14ac:dyDescent="0.2">
      <c r="B46" s="21" t="s">
        <v>18</v>
      </c>
      <c r="C46" t="s">
        <v>60</v>
      </c>
      <c r="E46" s="21">
        <f t="shared" si="1"/>
        <v>98.9</v>
      </c>
      <c r="F46" s="21">
        <f t="shared" si="2"/>
        <v>12.9</v>
      </c>
      <c r="G46" s="21">
        <v>86</v>
      </c>
    </row>
    <row r="47" spans="2:12" x14ac:dyDescent="0.2">
      <c r="E47" s="21">
        <f t="shared" si="1"/>
        <v>0</v>
      </c>
      <c r="F47" s="21">
        <f t="shared" si="2"/>
        <v>0</v>
      </c>
    </row>
    <row r="48" spans="2:12" x14ac:dyDescent="0.2">
      <c r="B48" s="21" t="s">
        <v>22</v>
      </c>
      <c r="C48" t="s">
        <v>90</v>
      </c>
      <c r="E48" s="21">
        <f t="shared" si="1"/>
        <v>69</v>
      </c>
      <c r="F48" s="21">
        <v>14</v>
      </c>
      <c r="G48" s="21">
        <v>55</v>
      </c>
    </row>
    <row r="49" spans="2:7" x14ac:dyDescent="0.2">
      <c r="B49" s="21" t="s">
        <v>22</v>
      </c>
      <c r="C49" t="s">
        <v>89</v>
      </c>
      <c r="E49" s="21">
        <f t="shared" si="1"/>
        <v>183</v>
      </c>
      <c r="F49" s="21">
        <v>13</v>
      </c>
      <c r="G49" s="21">
        <v>170</v>
      </c>
    </row>
    <row r="50" spans="2:7" x14ac:dyDescent="0.2">
      <c r="B50" s="21" t="s">
        <v>62</v>
      </c>
      <c r="C50" t="s">
        <v>61</v>
      </c>
      <c r="E50" s="21">
        <f t="shared" si="1"/>
        <v>400</v>
      </c>
      <c r="F50" s="21">
        <v>20</v>
      </c>
      <c r="G50" s="21">
        <v>380</v>
      </c>
    </row>
    <row r="51" spans="2:7" x14ac:dyDescent="0.2">
      <c r="B51" s="21" t="s">
        <v>63</v>
      </c>
      <c r="C51" t="s">
        <v>65</v>
      </c>
      <c r="E51" s="21">
        <f t="shared" si="1"/>
        <v>42.8</v>
      </c>
      <c r="F51" s="21">
        <f>7%*G51</f>
        <v>2.8000000000000003</v>
      </c>
      <c r="G51" s="21">
        <v>40</v>
      </c>
    </row>
    <row r="52" spans="2:7" x14ac:dyDescent="0.2">
      <c r="B52" s="21" t="s">
        <v>63</v>
      </c>
      <c r="C52" t="s">
        <v>64</v>
      </c>
      <c r="E52" s="21">
        <f t="shared" si="1"/>
        <v>53.5</v>
      </c>
      <c r="F52" s="21">
        <f>7%*G52</f>
        <v>3.5000000000000004</v>
      </c>
      <c r="G52" s="21">
        <v>50</v>
      </c>
    </row>
    <row r="53" spans="2:7" x14ac:dyDescent="0.2">
      <c r="B53" s="21" t="s">
        <v>63</v>
      </c>
      <c r="C53" t="s">
        <v>66</v>
      </c>
      <c r="E53" s="21">
        <f t="shared" si="1"/>
        <v>8.56</v>
      </c>
      <c r="F53" s="21">
        <f>7%*G53</f>
        <v>0.56000000000000005</v>
      </c>
      <c r="G53" s="21">
        <v>8</v>
      </c>
    </row>
    <row r="55" spans="2:7" x14ac:dyDescent="0.2">
      <c r="D55" t="s">
        <v>99</v>
      </c>
      <c r="E55">
        <v>10.75</v>
      </c>
      <c r="F55">
        <f>E55*27.51</f>
        <v>295.73250000000002</v>
      </c>
    </row>
  </sheetData>
  <mergeCells count="1">
    <mergeCell ref="I38:K38"/>
  </mergeCells>
  <phoneticPr fontId="4" type="noConversion"/>
  <hyperlinks>
    <hyperlink ref="H8" r:id="rId1" display="https://www.karer.in.ua/zaporozhskoe-kareroupravlenie.php" xr:uid="{00000000-0004-0000-0500-000000000000}"/>
    <hyperlink ref="H9" r:id="rId2" display="https://www.karer.in.ua/zaporozhskoe-kareroupravlenie.php" xr:uid="{00000000-0004-0000-0500-000001000000}"/>
    <hyperlink ref="H11" r:id="rId3" display="https://www.karer.in.ua/zaporozhskoe-kareroupravlenie.php" xr:uid="{00000000-0004-0000-0500-000002000000}"/>
  </hyperlinks>
  <pageMargins left="0.75" right="0.75" top="1" bottom="1" header="0.5" footer="0.5"/>
  <pageSetup paperSize="9" orientation="portrait" r:id="rId4"/>
  <headerFooter alignWithMargins="0"/>
  <customProperties>
    <customPr name="_pios_id" r:id="rId5"/>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25"/>
  <sheetViews>
    <sheetView workbookViewId="0">
      <selection activeCell="M7" sqref="M7"/>
    </sheetView>
  </sheetViews>
  <sheetFormatPr defaultRowHeight="12.75" x14ac:dyDescent="0.2"/>
  <cols>
    <col min="1" max="1" width="4.5703125" customWidth="1"/>
    <col min="2" max="2" width="7.42578125" customWidth="1"/>
    <col min="3" max="3" width="41.140625" customWidth="1"/>
    <col min="4" max="4" width="18.28515625" customWidth="1"/>
    <col min="6" max="6" width="11.7109375" customWidth="1"/>
    <col min="7" max="7" width="20.28515625" customWidth="1"/>
  </cols>
  <sheetData>
    <row r="2" spans="2:9" ht="33.75" x14ac:dyDescent="0.2">
      <c r="B2" s="62" t="s">
        <v>21</v>
      </c>
      <c r="C2" s="62" t="s">
        <v>3</v>
      </c>
      <c r="D2" s="62" t="s">
        <v>4</v>
      </c>
      <c r="E2" s="62" t="s">
        <v>31</v>
      </c>
      <c r="F2" s="62" t="s">
        <v>263</v>
      </c>
      <c r="G2" s="63" t="s">
        <v>264</v>
      </c>
      <c r="H2" s="64" t="s">
        <v>265</v>
      </c>
      <c r="I2" s="65">
        <f>47.6926</f>
        <v>47.692599999999999</v>
      </c>
    </row>
    <row r="3" spans="2:9" ht="27.6" customHeight="1" x14ac:dyDescent="0.2">
      <c r="B3" s="66"/>
      <c r="C3" s="67" t="s">
        <v>266</v>
      </c>
      <c r="D3" s="66"/>
      <c r="E3" s="68"/>
      <c r="F3" s="69"/>
      <c r="G3" s="70">
        <f>SUM(G4:G7)</f>
        <v>204843.28399999999</v>
      </c>
    </row>
    <row r="4" spans="2:9" ht="19.149999999999999" customHeight="1" x14ac:dyDescent="0.2">
      <c r="B4" s="71" t="s">
        <v>25</v>
      </c>
      <c r="C4" s="72" t="s">
        <v>267</v>
      </c>
      <c r="D4" s="73" t="s">
        <v>18</v>
      </c>
      <c r="E4" s="74">
        <v>1</v>
      </c>
      <c r="F4" s="75">
        <f>2880*I2</f>
        <v>137354.68799999999</v>
      </c>
      <c r="G4" s="75">
        <f t="shared" ref="G4:G5" si="0">E4*F4</f>
        <v>137354.68799999999</v>
      </c>
    </row>
    <row r="5" spans="2:9" ht="27.2" customHeight="1" x14ac:dyDescent="0.2">
      <c r="B5" s="71" t="s">
        <v>27</v>
      </c>
      <c r="C5" s="72" t="s">
        <v>268</v>
      </c>
      <c r="D5" s="73" t="s">
        <v>269</v>
      </c>
      <c r="E5" s="74">
        <v>7</v>
      </c>
      <c r="F5" s="75">
        <v>850</v>
      </c>
      <c r="G5" s="75">
        <f t="shared" si="0"/>
        <v>5950</v>
      </c>
    </row>
    <row r="6" spans="2:9" ht="44.45" customHeight="1" x14ac:dyDescent="0.2">
      <c r="B6" s="71" t="s">
        <v>29</v>
      </c>
      <c r="C6" s="76" t="s">
        <v>270</v>
      </c>
      <c r="D6" s="73" t="s">
        <v>18</v>
      </c>
      <c r="E6" s="74">
        <v>1</v>
      </c>
      <c r="F6" s="77">
        <f>460*I2</f>
        <v>21938.595999999998</v>
      </c>
      <c r="G6" s="77">
        <f t="shared" ref="G6:G7" si="1">F6*E6</f>
        <v>21938.595999999998</v>
      </c>
    </row>
    <row r="7" spans="2:9" ht="29.45" customHeight="1" x14ac:dyDescent="0.2">
      <c r="B7" s="71">
        <v>7</v>
      </c>
      <c r="C7" s="76" t="s">
        <v>271</v>
      </c>
      <c r="D7" s="73" t="s">
        <v>18</v>
      </c>
      <c r="E7" s="74">
        <v>9</v>
      </c>
      <c r="F7" s="75">
        <v>4400</v>
      </c>
      <c r="G7" s="77">
        <f t="shared" si="1"/>
        <v>39600</v>
      </c>
    </row>
    <row r="8" spans="2:9" x14ac:dyDescent="0.2">
      <c r="B8" s="78"/>
      <c r="C8" s="67" t="s">
        <v>68</v>
      </c>
      <c r="D8" s="66"/>
      <c r="E8" s="79"/>
      <c r="F8" s="80"/>
      <c r="G8" s="81">
        <f>SUM(G9:G12)</f>
        <v>15750</v>
      </c>
      <c r="H8" s="82">
        <f t="array" ref="H8">SUM(G4:G7*0.025)</f>
        <v>5121.0820999999996</v>
      </c>
    </row>
    <row r="9" spans="2:9" ht="21.6" customHeight="1" x14ac:dyDescent="0.2">
      <c r="B9" s="71">
        <v>1</v>
      </c>
      <c r="C9" s="72" t="s">
        <v>272</v>
      </c>
      <c r="D9" s="83" t="s">
        <v>70</v>
      </c>
      <c r="E9" s="74">
        <v>1</v>
      </c>
      <c r="F9" s="75">
        <v>4000</v>
      </c>
      <c r="G9" s="75">
        <f t="shared" ref="G9:G12" si="2">E9*F9</f>
        <v>4000</v>
      </c>
    </row>
    <row r="10" spans="2:9" ht="19.149999999999999" customHeight="1" x14ac:dyDescent="0.2">
      <c r="B10" s="71">
        <v>2</v>
      </c>
      <c r="C10" s="72" t="s">
        <v>69</v>
      </c>
      <c r="D10" s="83" t="s">
        <v>70</v>
      </c>
      <c r="E10" s="74">
        <v>1</v>
      </c>
      <c r="F10" s="75">
        <v>6500</v>
      </c>
      <c r="G10" s="75">
        <f t="shared" si="2"/>
        <v>6500</v>
      </c>
    </row>
    <row r="11" spans="2:9" ht="19.899999999999999" customHeight="1" x14ac:dyDescent="0.2">
      <c r="B11" s="71">
        <v>3</v>
      </c>
      <c r="C11" s="72" t="s">
        <v>273</v>
      </c>
      <c r="D11" s="83" t="s">
        <v>70</v>
      </c>
      <c r="E11" s="74">
        <v>1</v>
      </c>
      <c r="F11" s="75">
        <v>4500</v>
      </c>
      <c r="G11" s="75">
        <f t="shared" si="2"/>
        <v>4500</v>
      </c>
    </row>
    <row r="12" spans="2:9" ht="55.15" customHeight="1" x14ac:dyDescent="0.2">
      <c r="B12" s="71">
        <v>4</v>
      </c>
      <c r="C12" s="84" t="s">
        <v>274</v>
      </c>
      <c r="D12" s="83" t="s">
        <v>70</v>
      </c>
      <c r="E12" s="74">
        <v>1</v>
      </c>
      <c r="F12" s="85">
        <v>750</v>
      </c>
      <c r="G12" s="85">
        <f t="shared" si="2"/>
        <v>750</v>
      </c>
    </row>
    <row r="13" spans="2:9" ht="26.45" customHeight="1" x14ac:dyDescent="0.2">
      <c r="B13" s="86"/>
      <c r="C13" s="87" t="s">
        <v>275</v>
      </c>
      <c r="D13" s="86"/>
      <c r="E13" s="88"/>
      <c r="F13" s="89"/>
      <c r="G13" s="90">
        <f>SUM(G3:G12)/2</f>
        <v>220593.28399999999</v>
      </c>
    </row>
    <row r="15" spans="2:9" ht="31.9" customHeight="1" x14ac:dyDescent="0.2">
      <c r="B15" s="66"/>
      <c r="C15" s="67" t="s">
        <v>276</v>
      </c>
      <c r="D15" s="66"/>
      <c r="E15" s="68"/>
      <c r="F15" s="69"/>
      <c r="G15" s="70">
        <f>SUM(G16:G19)</f>
        <v>220204.954</v>
      </c>
    </row>
    <row r="16" spans="2:9" ht="25.9" customHeight="1" x14ac:dyDescent="0.2">
      <c r="B16" s="71" t="s">
        <v>111</v>
      </c>
      <c r="C16" s="72" t="s">
        <v>277</v>
      </c>
      <c r="D16" s="73" t="s">
        <v>18</v>
      </c>
      <c r="E16" s="74">
        <v>1</v>
      </c>
      <c r="F16" s="75">
        <f>3300*I2</f>
        <v>157385.57999999999</v>
      </c>
      <c r="G16" s="75">
        <f t="shared" ref="G16:G17" si="3">E16*F16</f>
        <v>157385.57999999999</v>
      </c>
    </row>
    <row r="17" spans="2:8" ht="30.75" customHeight="1" x14ac:dyDescent="0.2">
      <c r="B17" s="71" t="s">
        <v>27</v>
      </c>
      <c r="C17" s="72" t="s">
        <v>268</v>
      </c>
      <c r="D17" s="73" t="s">
        <v>269</v>
      </c>
      <c r="E17" s="74">
        <v>5</v>
      </c>
      <c r="F17" s="75">
        <v>850</v>
      </c>
      <c r="G17" s="75">
        <f t="shared" si="3"/>
        <v>4250</v>
      </c>
    </row>
    <row r="18" spans="2:8" ht="40.15" customHeight="1" x14ac:dyDescent="0.2">
      <c r="B18" s="71" t="s">
        <v>28</v>
      </c>
      <c r="C18" s="76" t="s">
        <v>278</v>
      </c>
      <c r="D18" s="73" t="s">
        <v>18</v>
      </c>
      <c r="E18" s="74">
        <v>1</v>
      </c>
      <c r="F18" s="77">
        <f>490*I2</f>
        <v>23369.374</v>
      </c>
      <c r="G18" s="77">
        <f t="shared" ref="G18:G19" si="4">F18*E18</f>
        <v>23369.374</v>
      </c>
    </row>
    <row r="19" spans="2:8" ht="31.15" customHeight="1" x14ac:dyDescent="0.2">
      <c r="B19" s="71">
        <v>7</v>
      </c>
      <c r="C19" s="76" t="s">
        <v>271</v>
      </c>
      <c r="D19" s="73" t="s">
        <v>18</v>
      </c>
      <c r="E19" s="74">
        <v>8</v>
      </c>
      <c r="F19" s="75">
        <v>4400</v>
      </c>
      <c r="G19" s="77">
        <f t="shared" si="4"/>
        <v>35200</v>
      </c>
    </row>
    <row r="20" spans="2:8" x14ac:dyDescent="0.2">
      <c r="B20" s="78"/>
      <c r="C20" s="67" t="s">
        <v>68</v>
      </c>
      <c r="D20" s="66"/>
      <c r="E20" s="79"/>
      <c r="F20" s="80"/>
      <c r="G20" s="81">
        <f>SUM(G21:G24)</f>
        <v>16250</v>
      </c>
      <c r="H20" s="82">
        <f t="array" ref="H20">SUM(G16:G19*0.025)</f>
        <v>5505.1238499999999</v>
      </c>
    </row>
    <row r="21" spans="2:8" ht="23.1" customHeight="1" x14ac:dyDescent="0.2">
      <c r="B21" s="71">
        <v>1</v>
      </c>
      <c r="C21" s="72" t="s">
        <v>272</v>
      </c>
      <c r="D21" s="83" t="s">
        <v>70</v>
      </c>
      <c r="E21" s="74">
        <v>1</v>
      </c>
      <c r="F21" s="75">
        <v>4000</v>
      </c>
      <c r="G21" s="75">
        <f t="shared" ref="G21:G24" si="5">E21*F21</f>
        <v>4000</v>
      </c>
    </row>
    <row r="22" spans="2:8" ht="22.15" customHeight="1" x14ac:dyDescent="0.2">
      <c r="B22" s="71">
        <v>2</v>
      </c>
      <c r="C22" s="72" t="s">
        <v>69</v>
      </c>
      <c r="D22" s="83" t="s">
        <v>70</v>
      </c>
      <c r="E22" s="74">
        <v>1</v>
      </c>
      <c r="F22" s="75">
        <v>6500</v>
      </c>
      <c r="G22" s="75">
        <f t="shared" si="5"/>
        <v>6500</v>
      </c>
    </row>
    <row r="23" spans="2:8" ht="29.45" customHeight="1" x14ac:dyDescent="0.2">
      <c r="B23" s="71">
        <v>3</v>
      </c>
      <c r="C23" s="72" t="s">
        <v>273</v>
      </c>
      <c r="D23" s="83" t="s">
        <v>70</v>
      </c>
      <c r="E23" s="74">
        <v>1</v>
      </c>
      <c r="F23" s="75">
        <v>5000</v>
      </c>
      <c r="G23" s="75">
        <f t="shared" si="5"/>
        <v>5000</v>
      </c>
    </row>
    <row r="24" spans="2:8" ht="53.45" customHeight="1" x14ac:dyDescent="0.2">
      <c r="B24" s="71">
        <v>4</v>
      </c>
      <c r="C24" s="84" t="s">
        <v>274</v>
      </c>
      <c r="D24" s="83" t="s">
        <v>70</v>
      </c>
      <c r="E24" s="74">
        <v>1</v>
      </c>
      <c r="F24" s="85">
        <v>750</v>
      </c>
      <c r="G24" s="85">
        <f t="shared" si="5"/>
        <v>750</v>
      </c>
    </row>
    <row r="25" spans="2:8" ht="20.45" customHeight="1" x14ac:dyDescent="0.2">
      <c r="B25" s="86"/>
      <c r="C25" s="87" t="s">
        <v>275</v>
      </c>
      <c r="D25" s="86"/>
      <c r="E25" s="88"/>
      <c r="F25" s="89"/>
      <c r="G25" s="90">
        <f>SUM(G15:G24)/2</f>
        <v>236454.954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6edd4da-7e66-4870-9263-e723aff5a2c3">
      <Terms xmlns="http://schemas.microsoft.com/office/infopath/2007/PartnerControls"/>
    </lcf76f155ced4ddcb4097134ff3c332f>
    <TaxCatchAll xmlns="959b0b2a-bc55-46eb-8455-29450620f09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Документ" ma:contentTypeID="0x010100E19DAB7C78E4C64FB3A443B733D55F29" ma:contentTypeVersion="15" ma:contentTypeDescription="Створення нового документа." ma:contentTypeScope="" ma:versionID="5dfdb45b48556b89ac387cd007fb0ca7">
  <xsd:schema xmlns:xsd="http://www.w3.org/2001/XMLSchema" xmlns:xs="http://www.w3.org/2001/XMLSchema" xmlns:p="http://schemas.microsoft.com/office/2006/metadata/properties" xmlns:ns2="76edd4da-7e66-4870-9263-e723aff5a2c3" xmlns:ns3="959b0b2a-bc55-46eb-8455-29450620f095" targetNamespace="http://schemas.microsoft.com/office/2006/metadata/properties" ma:root="true" ma:fieldsID="9f18a180e9d1b2c1c5c66f4e1792ff7f" ns2:_="" ns3:_="">
    <xsd:import namespace="76edd4da-7e66-4870-9263-e723aff5a2c3"/>
    <xsd:import namespace="959b0b2a-bc55-46eb-8455-29450620f09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2:MediaLengthInSeconds"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edd4da-7e66-4870-9263-e723aff5a2c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Теги зображень" ma:readOnly="false" ma:fieldId="{5cf76f15-5ced-4ddc-b409-7134ff3c332f}" ma:taxonomyMulti="true" ma:sspId="2204a950-474a-4b7a-a44a-33afe7cad9c4"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9b0b2a-bc55-46eb-8455-29450620f09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543c3eb-fbcd-46ff-a358-0e622dfd7059}" ma:internalName="TaxCatchAll" ma:showField="CatchAllData" ma:web="959b0b2a-bc55-46eb-8455-29450620f095">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Спільний доступ"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Відомості про тих, хто має доступ"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Тип вмісту"/>
        <xsd:element ref="dc:title" minOccurs="0" maxOccurs="1" ma:index="4" ma:displayName="Заголовок"/>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9E6532E-6E15-4FEF-BCBD-ADF852E7E606}">
  <ds:schemaRefs>
    <ds:schemaRef ds:uri="76edd4da-7e66-4870-9263-e723aff5a2c3"/>
    <ds:schemaRef ds:uri="http://schemas.microsoft.com/office/2006/documentManagement/types"/>
    <ds:schemaRef ds:uri="http://purl.org/dc/dcmitype/"/>
    <ds:schemaRef ds:uri="http://purl.org/dc/terms/"/>
    <ds:schemaRef ds:uri="http://schemas.microsoft.com/office/infopath/2007/PartnerControls"/>
    <ds:schemaRef ds:uri="959b0b2a-bc55-46eb-8455-29450620f095"/>
    <ds:schemaRef ds:uri="http://www.w3.org/XML/1998/namespace"/>
    <ds:schemaRef ds:uri="http://schemas.openxmlformats.org/package/2006/metadata/core-propertie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45B17DAA-36D6-4B18-AFA6-CCC54FB5C8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edd4da-7e66-4870-9263-e723aff5a2c3"/>
    <ds:schemaRef ds:uri="959b0b2a-bc55-46eb-8455-29450620f0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286D50E-D6DA-410E-9C63-432957ACA6F2}">
  <ds:schemaRefs>
    <ds:schemaRef ds:uri="http://schemas.microsoft.com/sharepoint/v3/contenttype/forms"/>
  </ds:schemaRefs>
</ds:datastoreItem>
</file>

<file path=docMetadata/LabelInfo.xml><?xml version="1.0" encoding="utf-8"?>
<clbl:labelList xmlns:clbl="http://schemas.microsoft.com/office/2020/mipLabelMetadata">
  <clbl:label id="{037e0cb5-d238-4c92-a419-eac9f866b371}" enabled="0" method="" siteId="{037e0cb5-d238-4c92-a419-eac9f866b37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5</vt:i4>
      </vt:variant>
      <vt:variant>
        <vt:lpstr>Іменовані діапазони</vt:lpstr>
      </vt:variant>
      <vt:variant>
        <vt:i4>1</vt:i4>
      </vt:variant>
    </vt:vector>
  </HeadingPairs>
  <TitlesOfParts>
    <vt:vector size="6" baseType="lpstr">
      <vt:lpstr>Специфікація</vt:lpstr>
      <vt:lpstr>Сантехніка</vt:lpstr>
      <vt:lpstr>Світлодіоди</vt:lpstr>
      <vt:lpstr>ОСН.МАТЕРІАЛИ</vt:lpstr>
      <vt:lpstr>ХМК</vt:lpstr>
      <vt:lpstr>Специфікація!Область_друку</vt:lpstr>
    </vt:vector>
  </TitlesOfParts>
  <Company>org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VDanylevych</dc:creator>
  <cp:lastModifiedBy>Павлишак Андрій</cp:lastModifiedBy>
  <cp:lastPrinted>2026-01-02T11:17:06Z</cp:lastPrinted>
  <dcterms:created xsi:type="dcterms:W3CDTF">2006-01-14T11:55:28Z</dcterms:created>
  <dcterms:modified xsi:type="dcterms:W3CDTF">2026-03-12T08:50:18Z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0x010100E19DAB7C78E4C64FB3A443B733D55F29</vt:lpwstr>
  </property>
  <property fmtid="{D5CDD505-2E9C-101B-9397-08002B2CF9AE}" pid="3" name="MediaServiceImageTags">
    <vt:lpwstr/>
  </property>
  <property fmtid="{D5CDD505-2E9C-101B-9397-08002B2CF9AE}" pid="4" name="CustomUiType">
    <vt:lpwstr>2</vt:lpwstr>
  </property>
</Properties>
</file>